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autoCompressPictures="0"/>
  <mc:AlternateContent xmlns:mc="http://schemas.openxmlformats.org/markup-compatibility/2006">
    <mc:Choice Requires="x15">
      <x15ac:absPath xmlns:x15ac="http://schemas.microsoft.com/office/spreadsheetml/2010/11/ac" url="D:\Job\2019 - xx_DeFAF\2021 FB Ökonomie\2024-2026 MLLEV_SH PROJEKT_XXXXXXXXXXXX\OUTPUT-Kapitalwert-FINAL\"/>
    </mc:Choice>
  </mc:AlternateContent>
  <xr:revisionPtr revIDLastSave="0" documentId="13_ncr:1_{33A083C6-5108-4FFA-A34D-5594553C3311}" xr6:coauthVersionLast="47" xr6:coauthVersionMax="47" xr10:uidLastSave="{00000000-0000-0000-0000-000000000000}"/>
  <bookViews>
    <workbookView xWindow="28680" yWindow="-120" windowWidth="29040" windowHeight="15720" tabRatio="730" xr2:uid="{00000000-000D-0000-FFFF-FFFF00000000}"/>
  </bookViews>
  <sheets>
    <sheet name="Kapitalwert+Annuität" sheetId="23" r:id="rId1"/>
    <sheet name="Futterlaubstreifen" sheetId="25" r:id="rId2"/>
    <sheet name="Futterlauberlöse" sheetId="27" r:id="rId3"/>
    <sheet name="Januar" sheetId="1" state="hidden" r:id="rId4"/>
    <sheet name="Februar" sheetId="9" state="hidden" r:id="rId5"/>
    <sheet name="März" sheetId="10" state="hidden" r:id="rId6"/>
    <sheet name="April" sheetId="11" state="hidden" r:id="rId7"/>
    <sheet name="Mai" sheetId="12" state="hidden" r:id="rId8"/>
    <sheet name="Juni" sheetId="13" state="hidden" r:id="rId9"/>
    <sheet name="Juli" sheetId="14" state="hidden" r:id="rId10"/>
    <sheet name="August" sheetId="15" state="hidden" r:id="rId11"/>
    <sheet name="September" sheetId="16" state="hidden" r:id="rId12"/>
    <sheet name="Oktober" sheetId="17" state="hidden" r:id="rId13"/>
    <sheet name="November" sheetId="18" state="hidden" r:id="rId14"/>
    <sheet name="Dezember" sheetId="19" state="hidden" r:id="rId15"/>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55" i="25" l="1"/>
  <c r="B155" i="25"/>
  <c r="C151" i="25"/>
  <c r="B151" i="25"/>
  <c r="C147" i="25"/>
  <c r="B147" i="25"/>
  <c r="C142" i="25"/>
  <c r="B142" i="25"/>
  <c r="C138" i="25"/>
  <c r="B138" i="25"/>
  <c r="C134" i="25"/>
  <c r="B134" i="25"/>
  <c r="C129" i="25"/>
  <c r="B129" i="25"/>
  <c r="C125" i="25"/>
  <c r="B125" i="25"/>
  <c r="C121" i="25"/>
  <c r="B121" i="25"/>
  <c r="C116" i="25"/>
  <c r="B116" i="25"/>
  <c r="C112" i="25"/>
  <c r="B112" i="25"/>
  <c r="B108" i="25"/>
  <c r="C103" i="25"/>
  <c r="B103" i="25"/>
  <c r="C108" i="25"/>
  <c r="C99" i="25"/>
  <c r="B99" i="25"/>
  <c r="C95" i="25"/>
  <c r="B95" i="25"/>
  <c r="C90" i="25"/>
  <c r="B90" i="25"/>
  <c r="C86" i="25"/>
  <c r="B86" i="25"/>
  <c r="C83" i="25"/>
  <c r="B83" i="25"/>
  <c r="C79" i="25"/>
  <c r="B79" i="25"/>
  <c r="C76" i="25"/>
  <c r="B76" i="25"/>
  <c r="C73" i="25"/>
  <c r="B73" i="25"/>
  <c r="C69" i="25"/>
  <c r="B69" i="25"/>
  <c r="C67" i="25"/>
  <c r="B67" i="25"/>
  <c r="C65" i="25"/>
  <c r="B65" i="25"/>
  <c r="C57" i="25"/>
  <c r="B57" i="25"/>
  <c r="C43" i="25"/>
  <c r="B43" i="25"/>
  <c r="S49" i="25"/>
  <c r="M49" i="25"/>
  <c r="N49" i="25"/>
  <c r="S35" i="25" l="1"/>
  <c r="S36" i="25" l="1"/>
  <c r="N153" i="25"/>
  <c r="M153" i="25"/>
  <c r="N149" i="25"/>
  <c r="M149" i="25"/>
  <c r="N140" i="25"/>
  <c r="M140" i="25"/>
  <c r="N136" i="25"/>
  <c r="M136" i="25"/>
  <c r="N127" i="25"/>
  <c r="M127" i="25"/>
  <c r="N123" i="25"/>
  <c r="M123" i="25"/>
  <c r="N114" i="25"/>
  <c r="M114" i="25"/>
  <c r="N110" i="25"/>
  <c r="M110" i="25"/>
  <c r="N101" i="25"/>
  <c r="M101" i="25"/>
  <c r="N97" i="25"/>
  <c r="M97" i="25"/>
  <c r="N88" i="25"/>
  <c r="M88" i="25"/>
  <c r="N85" i="25"/>
  <c r="M85" i="25"/>
  <c r="N75" i="25"/>
  <c r="M75" i="25"/>
  <c r="N78" i="25"/>
  <c r="M78" i="25"/>
  <c r="S145" i="25"/>
  <c r="N145" i="25"/>
  <c r="M145" i="25"/>
  <c r="J144" i="25"/>
  <c r="N144" i="25" s="1"/>
  <c r="S132" i="25"/>
  <c r="N132" i="25"/>
  <c r="M132" i="25"/>
  <c r="J131" i="25"/>
  <c r="N131" i="25" s="1"/>
  <c r="S119" i="25"/>
  <c r="N119" i="25"/>
  <c r="M119" i="25"/>
  <c r="J118" i="25"/>
  <c r="N118" i="25" s="1"/>
  <c r="S106" i="25"/>
  <c r="N106" i="25"/>
  <c r="M106" i="25"/>
  <c r="J105" i="25"/>
  <c r="N105" i="25" s="1"/>
  <c r="S93" i="25"/>
  <c r="N93" i="25"/>
  <c r="M93" i="25"/>
  <c r="J92" i="25"/>
  <c r="N92" i="25" s="1"/>
  <c r="S82" i="25"/>
  <c r="N82" i="25"/>
  <c r="M82" i="25"/>
  <c r="J81" i="25"/>
  <c r="N81" i="25" s="1"/>
  <c r="S72" i="25"/>
  <c r="J71" i="25"/>
  <c r="N154" i="25"/>
  <c r="M154" i="25"/>
  <c r="N150" i="25"/>
  <c r="M150" i="25"/>
  <c r="N146" i="25"/>
  <c r="M146" i="25"/>
  <c r="N141" i="25"/>
  <c r="M141" i="25"/>
  <c r="N137" i="25"/>
  <c r="M137" i="25"/>
  <c r="N133" i="25"/>
  <c r="M133" i="25"/>
  <c r="N128" i="25"/>
  <c r="M128" i="25"/>
  <c r="N124" i="25"/>
  <c r="M124" i="25"/>
  <c r="N120" i="25"/>
  <c r="M120" i="25"/>
  <c r="N115" i="25"/>
  <c r="M115" i="25"/>
  <c r="N111" i="25"/>
  <c r="M111" i="25"/>
  <c r="N107" i="25"/>
  <c r="M107" i="25"/>
  <c r="N102" i="25"/>
  <c r="M102" i="25"/>
  <c r="N98" i="25"/>
  <c r="M98" i="25"/>
  <c r="N94" i="25"/>
  <c r="M94" i="25"/>
  <c r="V94" i="25"/>
  <c r="V98" i="25"/>
  <c r="V102" i="25"/>
  <c r="V107" i="25"/>
  <c r="V111" i="25"/>
  <c r="V115" i="25"/>
  <c r="V120" i="25"/>
  <c r="V124" i="25"/>
  <c r="V128" i="25"/>
  <c r="V133" i="25"/>
  <c r="V137" i="25"/>
  <c r="V141" i="25"/>
  <c r="V146" i="25"/>
  <c r="V150" i="25"/>
  <c r="V154" i="25"/>
  <c r="V89" i="25"/>
  <c r="S28" i="25"/>
  <c r="M144" i="25" l="1"/>
  <c r="M131" i="25"/>
  <c r="M118" i="25"/>
  <c r="M105" i="25"/>
  <c r="M92" i="25"/>
  <c r="M81" i="25"/>
  <c r="S27" i="25" l="1"/>
  <c r="S26" i="25"/>
  <c r="S63" i="25" l="1"/>
  <c r="S52" i="25"/>
  <c r="S50" i="25"/>
  <c r="S48" i="25"/>
  <c r="S38" i="25"/>
  <c r="S29" i="25"/>
  <c r="S33" i="25"/>
  <c r="S31" i="25"/>
  <c r="S32" i="25"/>
  <c r="V97" i="25" l="1"/>
  <c r="V101" i="25"/>
  <c r="V105" i="25"/>
  <c r="V110" i="25"/>
  <c r="V114" i="25"/>
  <c r="V118" i="25"/>
  <c r="V123" i="25"/>
  <c r="V149" i="25"/>
  <c r="V127" i="25"/>
  <c r="V131" i="25"/>
  <c r="V136" i="25"/>
  <c r="V140" i="25"/>
  <c r="V144" i="25"/>
  <c r="V153" i="25"/>
  <c r="V92" i="25"/>
  <c r="V88" i="25"/>
  <c r="V85" i="25"/>
  <c r="V81" i="25"/>
  <c r="V78" i="25"/>
  <c r="V75" i="25"/>
  <c r="V71" i="25"/>
  <c r="C43" i="27"/>
  <c r="D43" i="27" s="1"/>
  <c r="E43" i="27" s="1"/>
  <c r="C42" i="27"/>
  <c r="D42" i="27" s="1"/>
  <c r="E42" i="27" s="1"/>
  <c r="C41" i="27"/>
  <c r="D41" i="27" s="1"/>
  <c r="E41" i="27" s="1"/>
  <c r="C40" i="27"/>
  <c r="D40" i="27" s="1"/>
  <c r="E40" i="27" s="1"/>
  <c r="C39" i="27"/>
  <c r="D39" i="27" s="1"/>
  <c r="E39" i="27" s="1"/>
  <c r="C38" i="27"/>
  <c r="D38" i="27" s="1"/>
  <c r="E38" i="27" s="1"/>
  <c r="R23" i="27"/>
  <c r="A25" i="27"/>
  <c r="R22" i="27"/>
  <c r="R21" i="27"/>
  <c r="N89" i="25"/>
  <c r="M89" i="25"/>
  <c r="N72" i="25"/>
  <c r="M72" i="25"/>
  <c r="N71" i="25"/>
  <c r="M71" i="25"/>
  <c r="N152" i="25"/>
  <c r="M152" i="25"/>
  <c r="N148" i="25"/>
  <c r="M148" i="25"/>
  <c r="N143" i="25"/>
  <c r="M143" i="25"/>
  <c r="N139" i="25"/>
  <c r="M139" i="25"/>
  <c r="N135" i="25"/>
  <c r="M135" i="25"/>
  <c r="N130" i="25"/>
  <c r="M130" i="25"/>
  <c r="N126" i="25"/>
  <c r="M126" i="25"/>
  <c r="N122" i="25"/>
  <c r="M122" i="25"/>
  <c r="N117" i="25"/>
  <c r="M117" i="25"/>
  <c r="N113" i="25"/>
  <c r="M113" i="25"/>
  <c r="N109" i="25"/>
  <c r="M109" i="25"/>
  <c r="N104" i="25"/>
  <c r="M104" i="25"/>
  <c r="N100" i="25"/>
  <c r="M100" i="25"/>
  <c r="N96" i="25"/>
  <c r="M96" i="25"/>
  <c r="N91" i="25"/>
  <c r="M91" i="25"/>
  <c r="N87" i="25"/>
  <c r="M87" i="25"/>
  <c r="N84" i="25"/>
  <c r="M84" i="25"/>
  <c r="N80" i="25"/>
  <c r="M80" i="25"/>
  <c r="N77" i="25"/>
  <c r="M77" i="25"/>
  <c r="N74" i="25"/>
  <c r="M74" i="25"/>
  <c r="N70" i="25"/>
  <c r="M70" i="25"/>
  <c r="N68" i="25"/>
  <c r="M68" i="25"/>
  <c r="N66" i="25"/>
  <c r="M66" i="25"/>
  <c r="S64" i="25"/>
  <c r="M63" i="25" l="1"/>
  <c r="N63" i="25"/>
  <c r="S62" i="25" l="1"/>
  <c r="N59" i="25"/>
  <c r="M62" i="25"/>
  <c r="N62" i="25"/>
  <c r="N60" i="25"/>
  <c r="M60" i="25"/>
  <c r="S61" i="25" s="1"/>
  <c r="M59" i="25"/>
  <c r="M56" i="25"/>
  <c r="N55" i="25"/>
  <c r="M55" i="25"/>
  <c r="S51" i="25" l="1"/>
  <c r="M52" i="25"/>
  <c r="N52" i="25"/>
  <c r="M53" i="25"/>
  <c r="S54" i="25" s="1"/>
  <c r="N53" i="25"/>
  <c r="N51" i="25"/>
  <c r="M51" i="25"/>
  <c r="N50" i="25" l="1"/>
  <c r="M50" i="25"/>
  <c r="M46" i="25"/>
  <c r="N46" i="25"/>
  <c r="M47" i="25"/>
  <c r="N47" i="25"/>
  <c r="M48" i="25"/>
  <c r="N48" i="25"/>
  <c r="M31" i="25" l="1"/>
  <c r="N31" i="25"/>
  <c r="M32" i="25"/>
  <c r="N32" i="25"/>
  <c r="M33" i="25"/>
  <c r="N33" i="25"/>
  <c r="M36" i="25"/>
  <c r="N36" i="25"/>
  <c r="M37" i="25"/>
  <c r="N37" i="25"/>
  <c r="M38" i="25"/>
  <c r="N38" i="25"/>
  <c r="M39" i="25"/>
  <c r="N39" i="25"/>
  <c r="M40" i="25"/>
  <c r="N40" i="25"/>
  <c r="M41" i="25"/>
  <c r="N41" i="25"/>
  <c r="M42" i="25"/>
  <c r="N42" i="25"/>
  <c r="N30" i="25"/>
  <c r="M30" i="25"/>
  <c r="M15" i="25" l="1"/>
  <c r="N15" i="25"/>
  <c r="S24" i="25"/>
  <c r="S23" i="25"/>
  <c r="S21" i="25"/>
  <c r="S19" i="25"/>
  <c r="S20" i="25"/>
  <c r="S18" i="25"/>
  <c r="M156" i="25" l="1"/>
  <c r="F86" i="25"/>
  <c r="C22" i="23" s="1"/>
  <c r="F76" i="25"/>
  <c r="C19" i="23" s="1"/>
  <c r="F73" i="25"/>
  <c r="C18" i="23" s="1"/>
  <c r="F69" i="25"/>
  <c r="C17" i="23" s="1"/>
  <c r="F67" i="25"/>
  <c r="C16" i="23" s="1"/>
  <c r="F65" i="25"/>
  <c r="C15" i="23" s="1"/>
  <c r="F57" i="25"/>
  <c r="C14" i="23" s="1"/>
  <c r="F43" i="25"/>
  <c r="C13" i="23" s="1"/>
  <c r="F129" i="25"/>
  <c r="C32" i="23" s="1"/>
  <c r="F9" i="23"/>
  <c r="F37" i="23" s="1"/>
  <c r="D151" i="25"/>
  <c r="D147" i="25"/>
  <c r="D142" i="25"/>
  <c r="D138" i="25"/>
  <c r="D155" i="25"/>
  <c r="D134" i="25"/>
  <c r="D129" i="25"/>
  <c r="D125" i="25"/>
  <c r="D121" i="25"/>
  <c r="D116" i="25"/>
  <c r="D112" i="25"/>
  <c r="D108" i="25"/>
  <c r="D103" i="25"/>
  <c r="D99" i="25"/>
  <c r="D95" i="25"/>
  <c r="D90" i="25"/>
  <c r="D86" i="25"/>
  <c r="D83" i="25"/>
  <c r="D79" i="25"/>
  <c r="D76" i="25"/>
  <c r="D73" i="25"/>
  <c r="D69" i="25"/>
  <c r="D67" i="25"/>
  <c r="D65" i="25"/>
  <c r="N58" i="25"/>
  <c r="M58" i="25"/>
  <c r="N13" i="25"/>
  <c r="N14" i="25"/>
  <c r="N16" i="25"/>
  <c r="N17" i="25"/>
  <c r="N18" i="25"/>
  <c r="N19" i="25"/>
  <c r="N20" i="25"/>
  <c r="N21" i="25"/>
  <c r="N22" i="25"/>
  <c r="N23" i="25"/>
  <c r="N24" i="25"/>
  <c r="N25" i="25"/>
  <c r="N27" i="25"/>
  <c r="N28" i="25"/>
  <c r="N29" i="25"/>
  <c r="N44" i="25"/>
  <c r="N45" i="25"/>
  <c r="N64" i="25"/>
  <c r="N12" i="25"/>
  <c r="M44" i="25"/>
  <c r="M45" i="25"/>
  <c r="M64" i="25"/>
  <c r="M13" i="25"/>
  <c r="M14" i="25"/>
  <c r="M16" i="25"/>
  <c r="M17" i="25"/>
  <c r="M18" i="25"/>
  <c r="M19" i="25"/>
  <c r="M20" i="25"/>
  <c r="M21" i="25"/>
  <c r="M22" i="25"/>
  <c r="M23" i="25"/>
  <c r="M24" i="25"/>
  <c r="M25" i="25"/>
  <c r="M27" i="25"/>
  <c r="M28" i="25"/>
  <c r="M29" i="25"/>
  <c r="M12" i="25"/>
  <c r="D57" i="25"/>
  <c r="F36" i="23" l="1"/>
  <c r="F79" i="25"/>
  <c r="C20" i="23" s="1"/>
  <c r="F83" i="25"/>
  <c r="C21" i="23" s="1"/>
  <c r="F90" i="25"/>
  <c r="C23" i="23" s="1"/>
  <c r="F134" i="25"/>
  <c r="C33" i="23" s="1"/>
  <c r="F142" i="25"/>
  <c r="C35" i="23" s="1"/>
  <c r="F138" i="25"/>
  <c r="C34" i="23" s="1"/>
  <c r="F99" i="25"/>
  <c r="C25" i="23" s="1"/>
  <c r="F108" i="25"/>
  <c r="C27" i="23" s="1"/>
  <c r="F147" i="25"/>
  <c r="C36" i="23" s="1"/>
  <c r="F103" i="25"/>
  <c r="C26" i="23" s="1"/>
  <c r="F112" i="25"/>
  <c r="C28" i="23" s="1"/>
  <c r="F116" i="25"/>
  <c r="C29" i="23" s="1"/>
  <c r="F95" i="25"/>
  <c r="C24" i="23" s="1"/>
  <c r="F151" i="25"/>
  <c r="C37" i="23" s="1"/>
  <c r="F121" i="25"/>
  <c r="C30" i="23" s="1"/>
  <c r="F125" i="25"/>
  <c r="C31" i="23" s="1"/>
  <c r="F155" i="25"/>
  <c r="C38" i="23" s="1"/>
  <c r="N156" i="25"/>
  <c r="F35" i="23"/>
  <c r="F31" i="23"/>
  <c r="F34" i="23"/>
  <c r="F33" i="23"/>
  <c r="F38" i="23"/>
  <c r="F32" i="23"/>
  <c r="D43" i="25"/>
  <c r="F28" i="23"/>
  <c r="F20" i="23"/>
  <c r="F13" i="23"/>
  <c r="F14" i="23"/>
  <c r="F23" i="23"/>
  <c r="F29" i="23"/>
  <c r="F22" i="23"/>
  <c r="F16" i="23"/>
  <c r="F17" i="23"/>
  <c r="F25" i="23"/>
  <c r="F19" i="23"/>
  <c r="F26" i="23"/>
  <c r="F18" i="23"/>
  <c r="F24" i="23"/>
  <c r="F30" i="23"/>
  <c r="F15" i="23"/>
  <c r="F21" i="23"/>
  <c r="F27" i="23"/>
  <c r="E138" i="25" l="1"/>
  <c r="D34" i="23" s="1"/>
  <c r="E34" i="23" s="1"/>
  <c r="G34" i="23" s="1"/>
  <c r="E142" i="25"/>
  <c r="D35" i="23" s="1"/>
  <c r="E35" i="23" s="1"/>
  <c r="G35" i="23" s="1"/>
  <c r="C39" i="23"/>
  <c r="E129" i="25"/>
  <c r="D32" i="23" s="1"/>
  <c r="E32" i="23" s="1"/>
  <c r="G32" i="23" s="1"/>
  <c r="E116" i="25"/>
  <c r="D29" i="23" s="1"/>
  <c r="E29" i="23" s="1"/>
  <c r="G29" i="23" s="1"/>
  <c r="E108" i="25"/>
  <c r="D27" i="23" s="1"/>
  <c r="E27" i="23" s="1"/>
  <c r="G27" i="23" s="1"/>
  <c r="E95" i="25"/>
  <c r="D24" i="23" s="1"/>
  <c r="E24" i="23" s="1"/>
  <c r="G24" i="23" s="1"/>
  <c r="E90" i="25"/>
  <c r="D23" i="23" s="1"/>
  <c r="E23" i="23" s="1"/>
  <c r="G23" i="23" s="1"/>
  <c r="E155" i="25"/>
  <c r="D38" i="23" s="1"/>
  <c r="E38" i="23" s="1"/>
  <c r="G38" i="23" s="1"/>
  <c r="E151" i="25"/>
  <c r="D37" i="23" s="1"/>
  <c r="E37" i="23" s="1"/>
  <c r="G37" i="23" s="1"/>
  <c r="E147" i="25"/>
  <c r="D36" i="23" s="1"/>
  <c r="E36" i="23" s="1"/>
  <c r="G36" i="23" s="1"/>
  <c r="E134" i="25"/>
  <c r="D33" i="23" s="1"/>
  <c r="E33" i="23" s="1"/>
  <c r="G33" i="23" s="1"/>
  <c r="E125" i="25"/>
  <c r="D31" i="23" s="1"/>
  <c r="E31" i="23" s="1"/>
  <c r="G31" i="23" s="1"/>
  <c r="E76" i="25"/>
  <c r="D19" i="23" s="1"/>
  <c r="E19" i="23" s="1"/>
  <c r="G19" i="23" s="1"/>
  <c r="E79" i="25"/>
  <c r="D20" i="23" s="1"/>
  <c r="E20" i="23" s="1"/>
  <c r="G20" i="23" s="1"/>
  <c r="E83" i="25"/>
  <c r="D21" i="23" s="1"/>
  <c r="E21" i="23" s="1"/>
  <c r="G21" i="23" s="1"/>
  <c r="E121" i="25"/>
  <c r="D30" i="23" s="1"/>
  <c r="E30" i="23" s="1"/>
  <c r="G30" i="23" s="1"/>
  <c r="E73" i="25"/>
  <c r="D18" i="23" s="1"/>
  <c r="E18" i="23" s="1"/>
  <c r="G18" i="23" s="1"/>
  <c r="E86" i="25"/>
  <c r="D22" i="23" s="1"/>
  <c r="E22" i="23" s="1"/>
  <c r="G22" i="23" s="1"/>
  <c r="E112" i="25"/>
  <c r="D28" i="23" s="1"/>
  <c r="E28" i="23" s="1"/>
  <c r="G28" i="23" s="1"/>
  <c r="E99" i="25"/>
  <c r="D25" i="23" s="1"/>
  <c r="E25" i="23" s="1"/>
  <c r="G25" i="23" s="1"/>
  <c r="E103" i="25"/>
  <c r="D26" i="23" s="1"/>
  <c r="E26" i="23" s="1"/>
  <c r="G26" i="23" s="1"/>
  <c r="E67" i="25"/>
  <c r="D16" i="23" s="1"/>
  <c r="E16" i="23" s="1"/>
  <c r="G16" i="23" s="1"/>
  <c r="E69" i="25"/>
  <c r="D17" i="23" s="1"/>
  <c r="E17" i="23" s="1"/>
  <c r="G17" i="23" s="1"/>
  <c r="E65" i="25"/>
  <c r="D15" i="23" s="1"/>
  <c r="E15" i="23" s="1"/>
  <c r="G15" i="23" s="1"/>
  <c r="E57" i="25"/>
  <c r="D14" i="23" s="1"/>
  <c r="E14" i="23" s="1"/>
  <c r="G14" i="23" s="1"/>
  <c r="E43" i="25"/>
  <c r="D13" i="23" s="1"/>
  <c r="D39" i="23" l="1"/>
  <c r="E13" i="23"/>
  <c r="E39" i="23" s="1"/>
  <c r="AB45" i="17"/>
  <c r="AC45" i="10"/>
  <c r="AD45" i="10"/>
  <c r="AE45" i="10"/>
  <c r="AC45" i="11"/>
  <c r="AD45" i="11"/>
  <c r="AC45" i="12"/>
  <c r="AD45" i="12"/>
  <c r="AE45" i="12"/>
  <c r="AC45" i="13"/>
  <c r="AD45" i="13"/>
  <c r="AC45" i="14"/>
  <c r="AD45" i="14"/>
  <c r="AE45" i="14"/>
  <c r="AC45" i="15"/>
  <c r="AD45" i="15"/>
  <c r="AE45" i="15"/>
  <c r="AC45" i="16"/>
  <c r="AD45" i="16"/>
  <c r="AC45" i="17"/>
  <c r="AD45" i="17"/>
  <c r="AE45" i="17"/>
  <c r="AC45" i="18"/>
  <c r="AD45" i="18"/>
  <c r="AG6" i="19"/>
  <c r="AG29" i="19"/>
  <c r="AG34" i="19"/>
  <c r="AG37" i="19"/>
  <c r="AG40" i="19"/>
  <c r="AG44" i="19"/>
  <c r="AC45" i="19"/>
  <c r="AD45" i="19"/>
  <c r="AE45" i="19"/>
  <c r="AF45" i="19"/>
  <c r="AB45" i="19"/>
  <c r="AG6" i="10"/>
  <c r="B45" i="19"/>
  <c r="C45" i="19"/>
  <c r="D45" i="19"/>
  <c r="E45" i="19"/>
  <c r="F45" i="19"/>
  <c r="G45" i="19"/>
  <c r="H45" i="19"/>
  <c r="I45" i="19"/>
  <c r="J45" i="19"/>
  <c r="K45" i="19"/>
  <c r="L45" i="19"/>
  <c r="M45" i="19"/>
  <c r="N45" i="19"/>
  <c r="O45" i="19"/>
  <c r="P45" i="19"/>
  <c r="Q45" i="19"/>
  <c r="R45" i="19"/>
  <c r="S45" i="19"/>
  <c r="T45" i="19"/>
  <c r="U45" i="19"/>
  <c r="V45" i="19"/>
  <c r="W45" i="19"/>
  <c r="X45" i="19"/>
  <c r="Y45" i="19"/>
  <c r="Z45" i="19"/>
  <c r="AA45" i="19"/>
  <c r="AG24" i="19"/>
  <c r="AG19" i="19"/>
  <c r="AG14" i="19"/>
  <c r="AG10" i="19"/>
  <c r="B45" i="18"/>
  <c r="C45" i="18"/>
  <c r="D45" i="18"/>
  <c r="E45" i="18"/>
  <c r="F45" i="18"/>
  <c r="G45" i="18"/>
  <c r="H45" i="18"/>
  <c r="I45" i="18"/>
  <c r="J45" i="18"/>
  <c r="K45" i="18"/>
  <c r="L45" i="18"/>
  <c r="M45" i="18"/>
  <c r="N45" i="18"/>
  <c r="O45" i="18"/>
  <c r="P45" i="18"/>
  <c r="Q45" i="18"/>
  <c r="R45" i="18"/>
  <c r="S45" i="18"/>
  <c r="T45" i="18"/>
  <c r="U45" i="18"/>
  <c r="V45" i="18"/>
  <c r="W45" i="18"/>
  <c r="X45" i="18"/>
  <c r="Y45" i="18"/>
  <c r="Z45" i="18"/>
  <c r="AA45" i="18"/>
  <c r="AB45" i="18"/>
  <c r="AE45" i="18"/>
  <c r="AF44" i="18"/>
  <c r="AF40" i="18"/>
  <c r="AF37" i="18"/>
  <c r="AF34" i="18"/>
  <c r="AF29" i="18"/>
  <c r="AF24" i="18"/>
  <c r="AF19" i="18"/>
  <c r="AF14" i="18"/>
  <c r="AF10" i="18"/>
  <c r="AF6" i="18"/>
  <c r="B45" i="17"/>
  <c r="C45" i="17"/>
  <c r="D45" i="17"/>
  <c r="E45" i="17"/>
  <c r="F45" i="17"/>
  <c r="G45" i="17"/>
  <c r="H45" i="17"/>
  <c r="I45" i="17"/>
  <c r="J45" i="17"/>
  <c r="K45" i="17"/>
  <c r="L45" i="17"/>
  <c r="M45" i="17"/>
  <c r="N45" i="17"/>
  <c r="O45" i="17"/>
  <c r="P45" i="17"/>
  <c r="Q45" i="17"/>
  <c r="R45" i="17"/>
  <c r="S45" i="17"/>
  <c r="T45" i="17"/>
  <c r="U45" i="17"/>
  <c r="V45" i="17"/>
  <c r="W45" i="17"/>
  <c r="X45" i="17"/>
  <c r="Y45" i="17"/>
  <c r="Z45" i="17"/>
  <c r="AA45" i="17"/>
  <c r="AF45" i="17"/>
  <c r="AG44" i="17"/>
  <c r="AG40" i="17"/>
  <c r="AG37" i="17"/>
  <c r="AG34" i="17"/>
  <c r="AG29" i="17"/>
  <c r="AG24" i="17"/>
  <c r="AG19" i="17"/>
  <c r="AG14" i="17"/>
  <c r="AG10" i="17"/>
  <c r="AG6" i="17"/>
  <c r="B45" i="16"/>
  <c r="C45" i="16"/>
  <c r="D45" i="16"/>
  <c r="E45" i="16"/>
  <c r="F45" i="16"/>
  <c r="G45" i="16"/>
  <c r="H45" i="16"/>
  <c r="I45" i="16"/>
  <c r="J45" i="16"/>
  <c r="K45" i="16"/>
  <c r="L45" i="16"/>
  <c r="M45" i="16"/>
  <c r="N45" i="16"/>
  <c r="O45" i="16"/>
  <c r="P45" i="16"/>
  <c r="Q45" i="16"/>
  <c r="R45" i="16"/>
  <c r="S45" i="16"/>
  <c r="T45" i="16"/>
  <c r="U45" i="16"/>
  <c r="V45" i="16"/>
  <c r="W45" i="16"/>
  <c r="X45" i="16"/>
  <c r="Y45" i="16"/>
  <c r="Z45" i="16"/>
  <c r="AA45" i="16"/>
  <c r="AB45" i="16"/>
  <c r="AE45" i="16"/>
  <c r="AF44" i="16"/>
  <c r="AF40" i="16"/>
  <c r="AF37" i="16"/>
  <c r="AF34" i="16"/>
  <c r="AF29" i="16"/>
  <c r="AF24" i="16"/>
  <c r="AF19" i="16"/>
  <c r="AF14" i="16"/>
  <c r="AF10" i="16"/>
  <c r="AF6" i="16"/>
  <c r="B45" i="15"/>
  <c r="C45" i="15"/>
  <c r="D45" i="15"/>
  <c r="E45" i="15"/>
  <c r="F45" i="15"/>
  <c r="G45" i="15"/>
  <c r="H45" i="15"/>
  <c r="I45" i="15"/>
  <c r="J45" i="15"/>
  <c r="K45" i="15"/>
  <c r="L45" i="15"/>
  <c r="M45" i="15"/>
  <c r="N45" i="15"/>
  <c r="O45" i="15"/>
  <c r="P45" i="15"/>
  <c r="Q45" i="15"/>
  <c r="R45" i="15"/>
  <c r="S45" i="15"/>
  <c r="T45" i="15"/>
  <c r="U45" i="15"/>
  <c r="V45" i="15"/>
  <c r="W45" i="15"/>
  <c r="X45" i="15"/>
  <c r="Y45" i="15"/>
  <c r="Z45" i="15"/>
  <c r="AA45" i="15"/>
  <c r="AB45" i="15"/>
  <c r="AF45" i="15"/>
  <c r="AG44" i="15"/>
  <c r="AG40" i="15"/>
  <c r="AG37" i="15"/>
  <c r="AG34" i="15"/>
  <c r="AG29" i="15"/>
  <c r="AG24" i="15"/>
  <c r="AG19" i="15"/>
  <c r="AG14" i="15"/>
  <c r="AG10" i="15"/>
  <c r="AG6" i="15"/>
  <c r="B45" i="14"/>
  <c r="C45" i="14"/>
  <c r="D45" i="14"/>
  <c r="E45" i="14"/>
  <c r="F45" i="14"/>
  <c r="G45" i="14"/>
  <c r="H45" i="14"/>
  <c r="I45" i="14"/>
  <c r="J45" i="14"/>
  <c r="K45" i="14"/>
  <c r="L45" i="14"/>
  <c r="M45" i="14"/>
  <c r="N45" i="14"/>
  <c r="O45" i="14"/>
  <c r="P45" i="14"/>
  <c r="Q45" i="14"/>
  <c r="R45" i="14"/>
  <c r="S45" i="14"/>
  <c r="T45" i="14"/>
  <c r="U45" i="14"/>
  <c r="V45" i="14"/>
  <c r="W45" i="14"/>
  <c r="X45" i="14"/>
  <c r="Y45" i="14"/>
  <c r="Z45" i="14"/>
  <c r="AA45" i="14"/>
  <c r="AB45" i="14"/>
  <c r="AF45" i="14"/>
  <c r="AG44" i="14"/>
  <c r="AG40" i="14"/>
  <c r="AG37" i="14"/>
  <c r="AG34" i="14"/>
  <c r="AG29" i="14"/>
  <c r="AG24" i="14"/>
  <c r="AG19" i="14"/>
  <c r="AG14" i="14"/>
  <c r="AG10" i="14"/>
  <c r="AG6" i="14"/>
  <c r="B45" i="13"/>
  <c r="C45" i="13"/>
  <c r="D45" i="13"/>
  <c r="E45" i="13"/>
  <c r="F45" i="13"/>
  <c r="G45" i="13"/>
  <c r="H45" i="13"/>
  <c r="I45" i="13"/>
  <c r="J45" i="13"/>
  <c r="K45" i="13"/>
  <c r="L45" i="13"/>
  <c r="M45" i="13"/>
  <c r="N45" i="13"/>
  <c r="O45" i="13"/>
  <c r="P45" i="13"/>
  <c r="Q45" i="13"/>
  <c r="R45" i="13"/>
  <c r="S45" i="13"/>
  <c r="T45" i="13"/>
  <c r="U45" i="13"/>
  <c r="V45" i="13"/>
  <c r="W45" i="13"/>
  <c r="X45" i="13"/>
  <c r="Y45" i="13"/>
  <c r="Z45" i="13"/>
  <c r="AA45" i="13"/>
  <c r="AB45" i="13"/>
  <c r="AE45" i="13"/>
  <c r="AF44" i="13"/>
  <c r="AF40" i="13"/>
  <c r="AF37" i="13"/>
  <c r="AF34" i="13"/>
  <c r="AF29" i="13"/>
  <c r="AF24" i="13"/>
  <c r="AF19" i="13"/>
  <c r="AF14" i="13"/>
  <c r="AF10" i="13"/>
  <c r="AF6" i="13"/>
  <c r="B45" i="12"/>
  <c r="C45" i="12"/>
  <c r="D45" i="12"/>
  <c r="E45" i="12"/>
  <c r="F45" i="12"/>
  <c r="G45" i="12"/>
  <c r="H45" i="12"/>
  <c r="I45" i="12"/>
  <c r="J45" i="12"/>
  <c r="K45" i="12"/>
  <c r="L45" i="12"/>
  <c r="M45" i="12"/>
  <c r="N45" i="12"/>
  <c r="O45" i="12"/>
  <c r="P45" i="12"/>
  <c r="Q45" i="12"/>
  <c r="R45" i="12"/>
  <c r="S45" i="12"/>
  <c r="T45" i="12"/>
  <c r="U45" i="12"/>
  <c r="V45" i="12"/>
  <c r="W45" i="12"/>
  <c r="X45" i="12"/>
  <c r="Y45" i="12"/>
  <c r="Z45" i="12"/>
  <c r="AA45" i="12"/>
  <c r="AB45" i="12"/>
  <c r="AF45" i="12"/>
  <c r="AG44" i="12"/>
  <c r="AG40" i="12"/>
  <c r="AG37" i="12"/>
  <c r="AG34" i="12"/>
  <c r="AG29" i="12"/>
  <c r="AG24" i="12"/>
  <c r="AG19" i="12"/>
  <c r="AG14" i="12"/>
  <c r="AG10" i="12"/>
  <c r="AG6" i="12"/>
  <c r="B45" i="11"/>
  <c r="AF45" i="11" s="1"/>
  <c r="C45" i="11"/>
  <c r="D45" i="11"/>
  <c r="E45" i="11"/>
  <c r="F45" i="11"/>
  <c r="G45" i="11"/>
  <c r="H45" i="11"/>
  <c r="I45" i="11"/>
  <c r="J45" i="11"/>
  <c r="K45" i="11"/>
  <c r="L45" i="11"/>
  <c r="M45" i="11"/>
  <c r="N45" i="11"/>
  <c r="O45" i="11"/>
  <c r="P45" i="11"/>
  <c r="Q45" i="11"/>
  <c r="R45" i="11"/>
  <c r="S45" i="11"/>
  <c r="T45" i="11"/>
  <c r="U45" i="11"/>
  <c r="V45" i="11"/>
  <c r="W45" i="11"/>
  <c r="X45" i="11"/>
  <c r="Y45" i="11"/>
  <c r="Z45" i="11"/>
  <c r="AA45" i="11"/>
  <c r="AB45" i="11"/>
  <c r="AE45" i="11"/>
  <c r="AF44" i="11"/>
  <c r="AF40" i="11"/>
  <c r="AF37" i="11"/>
  <c r="AF34" i="11"/>
  <c r="AF29" i="11"/>
  <c r="AF24" i="11"/>
  <c r="AF19" i="11"/>
  <c r="AF14" i="11"/>
  <c r="AF10" i="11"/>
  <c r="AF6" i="11"/>
  <c r="B45" i="10"/>
  <c r="C45" i="10"/>
  <c r="D45" i="10"/>
  <c r="E45" i="10"/>
  <c r="F45" i="10"/>
  <c r="G45" i="10"/>
  <c r="H45" i="10"/>
  <c r="I45" i="10"/>
  <c r="J45" i="10"/>
  <c r="K45" i="10"/>
  <c r="L45" i="10"/>
  <c r="M45" i="10"/>
  <c r="N45" i="10"/>
  <c r="O45" i="10"/>
  <c r="P45" i="10"/>
  <c r="Q45" i="10"/>
  <c r="R45" i="10"/>
  <c r="S45" i="10"/>
  <c r="T45" i="10"/>
  <c r="U45" i="10"/>
  <c r="V45" i="10"/>
  <c r="W45" i="10"/>
  <c r="X45" i="10"/>
  <c r="Y45" i="10"/>
  <c r="Z45" i="10"/>
  <c r="AA45" i="10"/>
  <c r="AB45" i="10"/>
  <c r="AF45" i="10"/>
  <c r="AG44" i="10"/>
  <c r="AG40" i="10"/>
  <c r="AG37" i="10"/>
  <c r="AG34" i="10"/>
  <c r="AG29" i="10"/>
  <c r="AG24" i="10"/>
  <c r="AG19" i="10"/>
  <c r="AG14" i="10"/>
  <c r="AG10" i="10"/>
  <c r="B45" i="9"/>
  <c r="C45" i="9"/>
  <c r="D45" i="9"/>
  <c r="E45" i="9"/>
  <c r="F45" i="9"/>
  <c r="G45" i="9"/>
  <c r="H45" i="9"/>
  <c r="I45" i="9"/>
  <c r="J45" i="9"/>
  <c r="K45" i="9"/>
  <c r="L45" i="9"/>
  <c r="M45" i="9"/>
  <c r="N45" i="9"/>
  <c r="O45" i="9"/>
  <c r="P45" i="9"/>
  <c r="Q45" i="9"/>
  <c r="R45" i="9"/>
  <c r="S45" i="9"/>
  <c r="T45" i="9"/>
  <c r="U45" i="9"/>
  <c r="V45" i="9"/>
  <c r="W45" i="9"/>
  <c r="X45" i="9"/>
  <c r="Y45" i="9"/>
  <c r="Z45" i="9"/>
  <c r="AA45" i="9"/>
  <c r="AB45" i="9"/>
  <c r="AC45" i="9"/>
  <c r="AD44" i="9"/>
  <c r="AD40" i="9"/>
  <c r="AD37" i="9"/>
  <c r="AD34" i="9"/>
  <c r="AD29" i="9"/>
  <c r="AD24" i="9"/>
  <c r="AD19" i="9"/>
  <c r="AD14" i="9"/>
  <c r="AD10" i="9"/>
  <c r="AD6" i="9"/>
  <c r="AG6" i="1"/>
  <c r="AG10" i="1"/>
  <c r="AG14" i="1"/>
  <c r="L45" i="1"/>
  <c r="B45" i="1"/>
  <c r="M45" i="1"/>
  <c r="C45" i="1"/>
  <c r="D45" i="1"/>
  <c r="E45" i="1"/>
  <c r="F45" i="1"/>
  <c r="G45" i="1"/>
  <c r="H45" i="1"/>
  <c r="I45" i="1"/>
  <c r="J45" i="1"/>
  <c r="K45" i="1"/>
  <c r="N45" i="1"/>
  <c r="O45" i="1"/>
  <c r="P45" i="1"/>
  <c r="Q45" i="1"/>
  <c r="R45" i="1"/>
  <c r="S45" i="1"/>
  <c r="T45" i="1"/>
  <c r="U45" i="1"/>
  <c r="V45" i="1"/>
  <c r="W45" i="1"/>
  <c r="X45" i="1"/>
  <c r="Y45" i="1"/>
  <c r="Z45" i="1"/>
  <c r="AA45" i="1"/>
  <c r="AB45" i="1"/>
  <c r="AC45" i="1"/>
  <c r="AD45" i="1"/>
  <c r="AE45" i="1"/>
  <c r="AF45" i="1"/>
  <c r="AG44" i="1"/>
  <c r="AG40" i="1"/>
  <c r="AG37" i="1"/>
  <c r="AG34" i="1"/>
  <c r="AG29" i="1"/>
  <c r="AG24" i="1"/>
  <c r="AG19" i="1"/>
  <c r="G13" i="23" l="1"/>
  <c r="G39" i="23" s="1"/>
  <c r="AG45" i="15"/>
  <c r="AG45" i="19"/>
  <c r="AG45" i="12"/>
  <c r="AF45" i="13"/>
  <c r="AG45" i="17"/>
  <c r="AF45" i="16"/>
  <c r="AG45" i="10"/>
  <c r="AG45" i="14"/>
  <c r="AF45" i="18"/>
  <c r="AD45" i="9"/>
  <c r="AG45" i="1"/>
  <c r="G40"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V27" authorId="0" shapeId="0" xr:uid="{646B7E21-BF41-4EE8-8EA3-4732E57DCDC6}">
      <text>
        <r>
          <rPr>
            <b/>
            <sz val="9"/>
            <color indexed="81"/>
            <rFont val="Segoe UI"/>
            <family val="2"/>
          </rPr>
          <t>admin:</t>
        </r>
        <r>
          <rPr>
            <sz val="9"/>
            <color indexed="81"/>
            <rFont val="Segoe UI"/>
            <family val="2"/>
          </rPr>
          <t xml:space="preserve">
Bitte Anzahl und Kosten ergänzen</t>
        </r>
      </text>
    </comment>
    <comment ref="V28" authorId="0" shapeId="0" xr:uid="{8060BC11-DB01-4C24-A08F-680A4A897A9E}">
      <text>
        <r>
          <rPr>
            <b/>
            <sz val="9"/>
            <color indexed="81"/>
            <rFont val="Segoe UI"/>
            <family val="2"/>
          </rPr>
          <t>admin:</t>
        </r>
        <r>
          <rPr>
            <sz val="9"/>
            <color indexed="81"/>
            <rFont val="Segoe UI"/>
            <family val="2"/>
          </rPr>
          <t xml:space="preserve">
Bitte Anzahl und Kosten ergänzen</t>
        </r>
      </text>
    </comment>
  </commentList>
</comments>
</file>

<file path=xl/sharedStrings.xml><?xml version="1.0" encoding="utf-8"?>
<sst xmlns="http://schemas.openxmlformats.org/spreadsheetml/2006/main" count="1421" uniqueCount="681">
  <si>
    <t>Lebensmittel</t>
  </si>
  <si>
    <t>auswärts essen</t>
  </si>
  <si>
    <t>Kleidung</t>
  </si>
  <si>
    <t>Transport</t>
  </si>
  <si>
    <t>Freizeit</t>
  </si>
  <si>
    <t>Bildung</t>
  </si>
  <si>
    <t>Oktober</t>
  </si>
  <si>
    <t>November</t>
  </si>
  <si>
    <t>Dezember</t>
  </si>
  <si>
    <t>Januar</t>
  </si>
  <si>
    <t>März</t>
  </si>
  <si>
    <t>April</t>
  </si>
  <si>
    <t>?</t>
  </si>
  <si>
    <t>Mai</t>
  </si>
  <si>
    <t>Juni</t>
  </si>
  <si>
    <t>Juli</t>
  </si>
  <si>
    <t>August</t>
  </si>
  <si>
    <t>September</t>
  </si>
  <si>
    <t>Februar</t>
  </si>
  <si>
    <t>TOTAL</t>
  </si>
  <si>
    <t>Hygiene/Kosmetik</t>
  </si>
  <si>
    <t>01.01.</t>
  </si>
  <si>
    <t>02.01.</t>
  </si>
  <si>
    <t>03.01.</t>
  </si>
  <si>
    <t>04.01.</t>
  </si>
  <si>
    <t>05.01.</t>
  </si>
  <si>
    <t>06.01.</t>
  </si>
  <si>
    <t>07.01.</t>
  </si>
  <si>
    <t>08.01.</t>
  </si>
  <si>
    <t>09.01.</t>
  </si>
  <si>
    <t>10.01.</t>
  </si>
  <si>
    <t>12.01.</t>
  </si>
  <si>
    <t>11.01.</t>
  </si>
  <si>
    <t>13.01.</t>
  </si>
  <si>
    <t>14.01.</t>
  </si>
  <si>
    <t>15.01.</t>
  </si>
  <si>
    <t>16.01.</t>
  </si>
  <si>
    <t>17.01.</t>
  </si>
  <si>
    <t>18.01.</t>
  </si>
  <si>
    <t>19.01.</t>
  </si>
  <si>
    <t>20.01.</t>
  </si>
  <si>
    <t>21.01.</t>
  </si>
  <si>
    <t>22.01.</t>
  </si>
  <si>
    <t>23.01.</t>
  </si>
  <si>
    <t>24.01.</t>
  </si>
  <si>
    <t>25.01.</t>
  </si>
  <si>
    <t>26.01.</t>
  </si>
  <si>
    <t>27.01.</t>
  </si>
  <si>
    <t>28.01.</t>
  </si>
  <si>
    <t>29.01.</t>
  </si>
  <si>
    <t>30.01.</t>
  </si>
  <si>
    <t>31.01.</t>
  </si>
  <si>
    <t>Gesamt</t>
  </si>
  <si>
    <t xml:space="preserve"> </t>
  </si>
  <si>
    <t>30.04.</t>
  </si>
  <si>
    <t>28.02.</t>
  </si>
  <si>
    <t>27.02.</t>
  </si>
  <si>
    <t>01.02.</t>
  </si>
  <si>
    <t>02.02.</t>
  </si>
  <si>
    <t>03.02.</t>
  </si>
  <si>
    <t>04.02.</t>
  </si>
  <si>
    <t>05.02.</t>
  </si>
  <si>
    <t>06.02.</t>
  </si>
  <si>
    <t>07.02.</t>
  </si>
  <si>
    <t>08.02.</t>
  </si>
  <si>
    <t>09.02.</t>
  </si>
  <si>
    <t>10.02.</t>
  </si>
  <si>
    <t>11.02.</t>
  </si>
  <si>
    <t>12.02.</t>
  </si>
  <si>
    <t>13.02.</t>
  </si>
  <si>
    <t>14.02.</t>
  </si>
  <si>
    <t>15.02.</t>
  </si>
  <si>
    <t>16.02.</t>
  </si>
  <si>
    <t>17.02.</t>
  </si>
  <si>
    <t>18.02.</t>
  </si>
  <si>
    <t>19.02.</t>
  </si>
  <si>
    <t>20.02.</t>
  </si>
  <si>
    <t>21.02.</t>
  </si>
  <si>
    <t>22.02.</t>
  </si>
  <si>
    <t>23.02.</t>
  </si>
  <si>
    <t>24.02.</t>
  </si>
  <si>
    <t>25.02.</t>
  </si>
  <si>
    <t>26.02.</t>
  </si>
  <si>
    <t>01.03.</t>
  </si>
  <si>
    <t>02.03.</t>
  </si>
  <si>
    <t>03.03.</t>
  </si>
  <si>
    <t>04.03.</t>
  </si>
  <si>
    <t>05.03.</t>
  </si>
  <si>
    <t>06.03.</t>
  </si>
  <si>
    <t>07.03.</t>
  </si>
  <si>
    <t>08.03.</t>
  </si>
  <si>
    <t>09.03.</t>
  </si>
  <si>
    <t>10.03.</t>
  </si>
  <si>
    <t>11.03.</t>
  </si>
  <si>
    <t>12.03.</t>
  </si>
  <si>
    <t>13.03.</t>
  </si>
  <si>
    <t>14.03.</t>
  </si>
  <si>
    <t>15.03.</t>
  </si>
  <si>
    <t>16.03.</t>
  </si>
  <si>
    <t>17.03.</t>
  </si>
  <si>
    <t>18.03.</t>
  </si>
  <si>
    <t>19.03.</t>
  </si>
  <si>
    <t>20.03.</t>
  </si>
  <si>
    <t>21.03.</t>
  </si>
  <si>
    <t>22.03.</t>
  </si>
  <si>
    <t>23.03.</t>
  </si>
  <si>
    <t>24.03.</t>
  </si>
  <si>
    <t>25.03.</t>
  </si>
  <si>
    <t>26.03.</t>
  </si>
  <si>
    <t>27.03.</t>
  </si>
  <si>
    <t>28.03.</t>
  </si>
  <si>
    <t>29.03.</t>
  </si>
  <si>
    <t>30.03.</t>
  </si>
  <si>
    <t>31.03.</t>
  </si>
  <si>
    <t>01.04.</t>
  </si>
  <si>
    <t>02.04.</t>
  </si>
  <si>
    <t>03.04.</t>
  </si>
  <si>
    <t>04.04.</t>
  </si>
  <si>
    <t>05.04.</t>
  </si>
  <si>
    <t>06.04.</t>
  </si>
  <si>
    <t>07.04.</t>
  </si>
  <si>
    <t>08.04.</t>
  </si>
  <si>
    <t>09.04.</t>
  </si>
  <si>
    <t>10.04.</t>
  </si>
  <si>
    <t>11.04.</t>
  </si>
  <si>
    <t>12.04.</t>
  </si>
  <si>
    <t>13.04.</t>
  </si>
  <si>
    <t>14.04.</t>
  </si>
  <si>
    <t>15.04.</t>
  </si>
  <si>
    <t>16.04.</t>
  </si>
  <si>
    <t>17.04.</t>
  </si>
  <si>
    <t>18.04.</t>
  </si>
  <si>
    <t>19.04.</t>
  </si>
  <si>
    <t>20.04.</t>
  </si>
  <si>
    <t>21.04.</t>
  </si>
  <si>
    <t>22.04.</t>
  </si>
  <si>
    <t>23.04.</t>
  </si>
  <si>
    <t>24.04.</t>
  </si>
  <si>
    <t>25.04.</t>
  </si>
  <si>
    <t>26.04.</t>
  </si>
  <si>
    <t>27.04.</t>
  </si>
  <si>
    <t>28.04.</t>
  </si>
  <si>
    <t>29.04.</t>
  </si>
  <si>
    <t>07.05.</t>
  </si>
  <si>
    <t>01.05.</t>
  </si>
  <si>
    <t>02.05.</t>
  </si>
  <si>
    <t>03.05.</t>
  </si>
  <si>
    <t>04.05.</t>
  </si>
  <si>
    <t>05.05.</t>
  </si>
  <si>
    <t>06.05.</t>
  </si>
  <si>
    <t>08.05.</t>
  </si>
  <si>
    <t>09.05.</t>
  </si>
  <si>
    <t>10.05.</t>
  </si>
  <si>
    <t>11.05.</t>
  </si>
  <si>
    <t>12.05.</t>
  </si>
  <si>
    <t>13.05.</t>
  </si>
  <si>
    <t>14.05.</t>
  </si>
  <si>
    <t>15.05.</t>
  </si>
  <si>
    <t>16.05.</t>
  </si>
  <si>
    <t>17.05.</t>
  </si>
  <si>
    <t>18.05.</t>
  </si>
  <si>
    <t>19.05.</t>
  </si>
  <si>
    <t>20.05.</t>
  </si>
  <si>
    <t>21.05.</t>
  </si>
  <si>
    <t>22.05.</t>
  </si>
  <si>
    <t>23.05.</t>
  </si>
  <si>
    <t>24.05.</t>
  </si>
  <si>
    <t>26.05.</t>
  </si>
  <si>
    <t>25.05.</t>
  </si>
  <si>
    <t>27.05.</t>
  </si>
  <si>
    <t>28.05.</t>
  </si>
  <si>
    <t>29.05.</t>
  </si>
  <si>
    <t>30.05.</t>
  </si>
  <si>
    <t>31.05.</t>
  </si>
  <si>
    <t>29.06.</t>
  </si>
  <si>
    <t>30.06.</t>
  </si>
  <si>
    <t>01.06.</t>
  </si>
  <si>
    <t>02.06.</t>
  </si>
  <si>
    <t>03.06.</t>
  </si>
  <si>
    <t>04.06.</t>
  </si>
  <si>
    <t>05.06.</t>
  </si>
  <si>
    <t>06.06.</t>
  </si>
  <si>
    <t>07.06.</t>
  </si>
  <si>
    <t>08.06.</t>
  </si>
  <si>
    <t>09.06.</t>
  </si>
  <si>
    <t>10.06.</t>
  </si>
  <si>
    <t>11.06.</t>
  </si>
  <si>
    <t>12.06.</t>
  </si>
  <si>
    <t>13.06.</t>
  </si>
  <si>
    <t>14.06.</t>
  </si>
  <si>
    <t>15.06.</t>
  </si>
  <si>
    <t>17.06.</t>
  </si>
  <si>
    <t>18.06.</t>
  </si>
  <si>
    <t>16.06.</t>
  </si>
  <si>
    <t>19.06.</t>
  </si>
  <si>
    <t>20.06.</t>
  </si>
  <si>
    <t>21.06.</t>
  </si>
  <si>
    <t>22.06.</t>
  </si>
  <si>
    <t>23.06.</t>
  </si>
  <si>
    <t>24.06.</t>
  </si>
  <si>
    <t>25.06.</t>
  </si>
  <si>
    <t>26.06.</t>
  </si>
  <si>
    <t>27.06.</t>
  </si>
  <si>
    <t>28.06.</t>
  </si>
  <si>
    <t>11.07.</t>
  </si>
  <si>
    <t>12.07.</t>
  </si>
  <si>
    <t>13.07.</t>
  </si>
  <si>
    <t>14.07.</t>
  </si>
  <si>
    <t>15.07.</t>
  </si>
  <si>
    <t>16.07.</t>
  </si>
  <si>
    <t>17.07.</t>
  </si>
  <si>
    <t>18.07.</t>
  </si>
  <si>
    <t>19.07.</t>
  </si>
  <si>
    <t>20.07.</t>
  </si>
  <si>
    <t>21.07.</t>
  </si>
  <si>
    <t>22.07.</t>
  </si>
  <si>
    <t>23.07.</t>
  </si>
  <si>
    <t>24.07.</t>
  </si>
  <si>
    <t>25.07.</t>
  </si>
  <si>
    <t>26.07.</t>
  </si>
  <si>
    <t>27.07.</t>
  </si>
  <si>
    <t>28.07.</t>
  </si>
  <si>
    <t>01.07.</t>
  </si>
  <si>
    <t>02.07.</t>
  </si>
  <si>
    <t>03.07.</t>
  </si>
  <si>
    <t>04.07.</t>
  </si>
  <si>
    <t>05.07.</t>
  </si>
  <si>
    <t>06.07.</t>
  </si>
  <si>
    <t>07.07.</t>
  </si>
  <si>
    <t>08.07.</t>
  </si>
  <si>
    <t>09.07.</t>
  </si>
  <si>
    <t>10.07.</t>
  </si>
  <si>
    <t>29.07.</t>
  </si>
  <si>
    <t>30.07.</t>
  </si>
  <si>
    <t>31.07.</t>
  </si>
  <si>
    <t>29.08.</t>
  </si>
  <si>
    <t>30.08.</t>
  </si>
  <si>
    <t>31.08.</t>
  </si>
  <si>
    <t>01.08.</t>
  </si>
  <si>
    <t>02.08.</t>
  </si>
  <si>
    <t>03.08.</t>
  </si>
  <si>
    <t>04.08.</t>
  </si>
  <si>
    <t>05.08.</t>
  </si>
  <si>
    <t>06.08.</t>
  </si>
  <si>
    <t>07.08.</t>
  </si>
  <si>
    <t>08.08.</t>
  </si>
  <si>
    <t>09.08.</t>
  </si>
  <si>
    <t>10.08.</t>
  </si>
  <si>
    <t>11.08.</t>
  </si>
  <si>
    <t>12.08.</t>
  </si>
  <si>
    <t>13.08.</t>
  </si>
  <si>
    <t>14.08.</t>
  </si>
  <si>
    <t>15.08.</t>
  </si>
  <si>
    <t>16.08.</t>
  </si>
  <si>
    <t>17.08.</t>
  </si>
  <si>
    <t>18.08.</t>
  </si>
  <si>
    <t>19.08.</t>
  </si>
  <si>
    <t>20.08.</t>
  </si>
  <si>
    <t>21.08.</t>
  </si>
  <si>
    <t>22.08.</t>
  </si>
  <si>
    <t>23.08.</t>
  </si>
  <si>
    <t>24.08.</t>
  </si>
  <si>
    <t>25.08.</t>
  </si>
  <si>
    <t>26.08.</t>
  </si>
  <si>
    <t>27.08.</t>
  </si>
  <si>
    <t>28.08.</t>
  </si>
  <si>
    <t>29.09.</t>
  </si>
  <si>
    <t>30.09.</t>
  </si>
  <si>
    <t>09.09.</t>
  </si>
  <si>
    <t>02.09.</t>
  </si>
  <si>
    <t>03.09.</t>
  </si>
  <si>
    <t>04.09.</t>
  </si>
  <si>
    <t>05.09.</t>
  </si>
  <si>
    <t>06.09.</t>
  </si>
  <si>
    <t>07.09.</t>
  </si>
  <si>
    <t>08.09.</t>
  </si>
  <si>
    <t>10.09.</t>
  </si>
  <si>
    <t>11.09.</t>
  </si>
  <si>
    <t>12.09.</t>
  </si>
  <si>
    <t>13.09.</t>
  </si>
  <si>
    <t>14.09.</t>
  </si>
  <si>
    <t>15.09.</t>
  </si>
  <si>
    <t>16.09.</t>
  </si>
  <si>
    <t>17.09.</t>
  </si>
  <si>
    <t>18.09.</t>
  </si>
  <si>
    <t>19.09.</t>
  </si>
  <si>
    <t>20.09.</t>
  </si>
  <si>
    <t>21.09.</t>
  </si>
  <si>
    <t>22.09.</t>
  </si>
  <si>
    <t>23.09.</t>
  </si>
  <si>
    <t>24.09.</t>
  </si>
  <si>
    <t>25.09.</t>
  </si>
  <si>
    <t>26.09.</t>
  </si>
  <si>
    <t>27.09.</t>
  </si>
  <si>
    <t>28.09.</t>
  </si>
  <si>
    <t>01.09.</t>
  </si>
  <si>
    <t>01.10.</t>
  </si>
  <si>
    <t>02.10.</t>
  </si>
  <si>
    <t>03.10.</t>
  </si>
  <si>
    <t>04.10.</t>
  </si>
  <si>
    <t>05.10.</t>
  </si>
  <si>
    <t>06.10.</t>
  </si>
  <si>
    <t>07.10.</t>
  </si>
  <si>
    <t>08.10.</t>
  </si>
  <si>
    <t>09.10.</t>
  </si>
  <si>
    <t>10.10.</t>
  </si>
  <si>
    <t>11.10.</t>
  </si>
  <si>
    <t>12.10.</t>
  </si>
  <si>
    <t>13.10.</t>
  </si>
  <si>
    <t>14.10.</t>
  </si>
  <si>
    <t>15.10.</t>
  </si>
  <si>
    <t>16.10.</t>
  </si>
  <si>
    <t>17.10.</t>
  </si>
  <si>
    <t>18.10.</t>
  </si>
  <si>
    <t>19.10.</t>
  </si>
  <si>
    <t>20.10.</t>
  </si>
  <si>
    <t>21.10.</t>
  </si>
  <si>
    <t>22.10.</t>
  </si>
  <si>
    <t>23.10.</t>
  </si>
  <si>
    <t>24.10.</t>
  </si>
  <si>
    <t>25.10.</t>
  </si>
  <si>
    <t>26.10.</t>
  </si>
  <si>
    <t>27.10.</t>
  </si>
  <si>
    <t>28.10.</t>
  </si>
  <si>
    <t>29.10.</t>
  </si>
  <si>
    <t>30.10.</t>
  </si>
  <si>
    <t>31.10.</t>
  </si>
  <si>
    <t>29.11.</t>
  </si>
  <si>
    <t>30.11.</t>
  </si>
  <si>
    <t>11.11.</t>
  </si>
  <si>
    <t>02.11.</t>
  </si>
  <si>
    <t>03.11.</t>
  </si>
  <si>
    <t>04.11.</t>
  </si>
  <si>
    <t>05.11.</t>
  </si>
  <si>
    <t>06.11.</t>
  </si>
  <si>
    <t>07.11.</t>
  </si>
  <si>
    <t>08.11.</t>
  </si>
  <si>
    <t>09.11.</t>
  </si>
  <si>
    <t>10.11.</t>
  </si>
  <si>
    <t>12.11.</t>
  </si>
  <si>
    <t>13.11.</t>
  </si>
  <si>
    <t>14.11.</t>
  </si>
  <si>
    <t>15.11.</t>
  </si>
  <si>
    <t>16.11.</t>
  </si>
  <si>
    <t>17.11.</t>
  </si>
  <si>
    <t>18.11.</t>
  </si>
  <si>
    <t>19.11.</t>
  </si>
  <si>
    <t>20.11.</t>
  </si>
  <si>
    <t>21.11.</t>
  </si>
  <si>
    <t>22.11.</t>
  </si>
  <si>
    <t>23.11.</t>
  </si>
  <si>
    <t>24.11.</t>
  </si>
  <si>
    <t>25.11.</t>
  </si>
  <si>
    <t>26.11.</t>
  </si>
  <si>
    <t>27.11.</t>
  </si>
  <si>
    <t>28.11.</t>
  </si>
  <si>
    <t>01.11.</t>
  </si>
  <si>
    <t>29.12.</t>
  </si>
  <si>
    <t>30.12.</t>
  </si>
  <si>
    <t>31.12.</t>
  </si>
  <si>
    <t>01.12.</t>
  </si>
  <si>
    <t>02.12.</t>
  </si>
  <si>
    <t>03.12.</t>
  </si>
  <si>
    <t>04.12.</t>
  </si>
  <si>
    <t>05.12.</t>
  </si>
  <si>
    <t>06.12.</t>
  </si>
  <si>
    <t>07.12.</t>
  </si>
  <si>
    <t>08.12.</t>
  </si>
  <si>
    <t>09.12.</t>
  </si>
  <si>
    <t>10.12.</t>
  </si>
  <si>
    <t>11.12.</t>
  </si>
  <si>
    <t>12.12.</t>
  </si>
  <si>
    <t>13.12.</t>
  </si>
  <si>
    <t>14.12.</t>
  </si>
  <si>
    <t>15.12.</t>
  </si>
  <si>
    <t>16.12.</t>
  </si>
  <si>
    <t>17.12.</t>
  </si>
  <si>
    <t>18.12.</t>
  </si>
  <si>
    <t>19.12.</t>
  </si>
  <si>
    <t>20.12.</t>
  </si>
  <si>
    <t>21.12.</t>
  </si>
  <si>
    <t>22.12.</t>
  </si>
  <si>
    <t>23.12.</t>
  </si>
  <si>
    <t>24.12.</t>
  </si>
  <si>
    <t>25.12.</t>
  </si>
  <si>
    <t>26.12.</t>
  </si>
  <si>
    <t>27.12.</t>
  </si>
  <si>
    <t>28.12.</t>
  </si>
  <si>
    <t>Sonstiges</t>
  </si>
  <si>
    <t>Jahr</t>
  </si>
  <si>
    <t>Abzinsfaktor</t>
  </si>
  <si>
    <t>Kapitalwert:</t>
  </si>
  <si>
    <t>Zinssatz:</t>
  </si>
  <si>
    <t>Annuität:</t>
  </si>
  <si>
    <t>Summe</t>
  </si>
  <si>
    <t>Arbeitskräfte &amp; Arbeitszeit</t>
  </si>
  <si>
    <t>Betriebsmittel</t>
  </si>
  <si>
    <t>Datum</t>
  </si>
  <si>
    <t>Planungsgespräch</t>
  </si>
  <si>
    <t>PC (Web-Meeting)</t>
  </si>
  <si>
    <t>Planungsskizzen</t>
  </si>
  <si>
    <t>Auswahl der Pflanzen</t>
  </si>
  <si>
    <t>PC, Telefon</t>
  </si>
  <si>
    <t>Auswahl und Bestellung der Pflanzen</t>
  </si>
  <si>
    <t>Bodenbearbeitung</t>
  </si>
  <si>
    <t>Tiefenlockerung: Lockerung möglicher Verdichtungen für einen besseren Anwuchs der Pflanzen</t>
  </si>
  <si>
    <t>Einmessen</t>
  </si>
  <si>
    <t>GPS-Einmessen und GIS Planung.</t>
  </si>
  <si>
    <t>GPS Messgerät, PC (GIS-Planung)</t>
  </si>
  <si>
    <t>Pflanzung</t>
  </si>
  <si>
    <t>Mulchen</t>
  </si>
  <si>
    <t>Bewässerung</t>
  </si>
  <si>
    <t>Wasserverbrauch</t>
  </si>
  <si>
    <t>Modell- und Demonstrationsvorhaben für die Planung und Etablierung von Agroforstsystemen in Schleswig-Holstein</t>
  </si>
  <si>
    <t>Anzahl</t>
  </si>
  <si>
    <t>Eichhof</t>
  </si>
  <si>
    <t>Quellen</t>
  </si>
  <si>
    <t>Bestellung (Kosten)</t>
  </si>
  <si>
    <t>Direktkosten</t>
  </si>
  <si>
    <t>Summe Auszahlungen</t>
  </si>
  <si>
    <t>Summe Einzahlungen</t>
  </si>
  <si>
    <t>Planung</t>
  </si>
  <si>
    <t>Pflege</t>
  </si>
  <si>
    <t>Ernte</t>
  </si>
  <si>
    <t xml:space="preserve">Anmerkungen </t>
  </si>
  <si>
    <r>
      <t xml:space="preserve">Eingesetzte Maschinen, Geräte </t>
    </r>
    <r>
      <rPr>
        <sz val="11"/>
        <color rgb="FF0070C0"/>
        <rFont val="Calibri"/>
        <family val="2"/>
        <scheme val="minor"/>
      </rPr>
      <t>(Name, Typ, Größe und Funktion)</t>
    </r>
  </si>
  <si>
    <r>
      <t xml:space="preserve">Lohnkosten </t>
    </r>
    <r>
      <rPr>
        <sz val="12"/>
        <color rgb="FF3333CC"/>
        <rFont val="Calibri"/>
        <family val="2"/>
        <scheme val="minor"/>
      </rPr>
      <t>(kalkulatorischer Lohnansatz: € 22)</t>
    </r>
  </si>
  <si>
    <r>
      <t xml:space="preserve">Lohnkosten </t>
    </r>
    <r>
      <rPr>
        <sz val="12"/>
        <color rgb="FF3333CC"/>
        <rFont val="Calibri"/>
        <family val="2"/>
        <scheme val="minor"/>
      </rPr>
      <t>(kalkulatorischer Lohnansatz: € 13,9)</t>
    </r>
  </si>
  <si>
    <t>Maschinenkosten</t>
  </si>
  <si>
    <t xml:space="preserve">Beschreibung der Tätigkeit </t>
  </si>
  <si>
    <t>Anzahl der beteiligten Hilfskräfte</t>
  </si>
  <si>
    <t>Anzahl der beteiligten Fachkräfte</t>
  </si>
  <si>
    <t>Arbeitsschritt wurde ausgeführt</t>
  </si>
  <si>
    <t>Arbeitsschritt ist geplant</t>
  </si>
  <si>
    <r>
      <t>Fachkraft</t>
    </r>
    <r>
      <rPr>
        <sz val="12"/>
        <rFont val="Calibri"/>
        <family val="2"/>
        <scheme val="minor"/>
      </rPr>
      <t xml:space="preserve"> - kalkulatorischer Lohnansatz in €:</t>
    </r>
  </si>
  <si>
    <r>
      <t>Hilfskraft</t>
    </r>
    <r>
      <rPr>
        <sz val="12"/>
        <rFont val="Calibri"/>
        <family val="2"/>
        <scheme val="minor"/>
      </rPr>
      <t xml:space="preserve"> - kalkulatorischer Lohnansatz in €:</t>
    </r>
  </si>
  <si>
    <t>Rüstzeit ca. 30 min</t>
  </si>
  <si>
    <t xml:space="preserve">Rüstzeit: 15 min </t>
  </si>
  <si>
    <t>Netto-Preise</t>
  </si>
  <si>
    <t>Futterlaub ernten</t>
  </si>
  <si>
    <t>s.o.</t>
  </si>
  <si>
    <t>Erlöse</t>
  </si>
  <si>
    <t>3% jährlicher Preiszuwachs</t>
  </si>
  <si>
    <t>jährlich</t>
  </si>
  <si>
    <t>Betrachtungszeitraum:</t>
  </si>
  <si>
    <t>Quelle: https://www.lksh.de/fileadmin/PDFs/Landwirtschaft/Markt/Kalk_tier_25_26.pdf</t>
  </si>
  <si>
    <t>Wichtige offene F ragen:</t>
  </si>
  <si>
    <t>Arbeitszeitaufwand und Direktkosten: Futterlaubstreifen (207 m Länge), Rieckens Eichhof</t>
  </si>
  <si>
    <t>Festlegen der Pflanzabstände, der Breite des Gehölzstreifens, der Baumauswahl</t>
  </si>
  <si>
    <t>Futtterlaubgewächse wurden auf Basis eigener Erfahrungen und vorhandener Literatur ausgewählt.</t>
  </si>
  <si>
    <t>Abschliessende Baumschulrecherche und Auswahl der Pflanzen. Bestellvorgang.</t>
  </si>
  <si>
    <t>Auswahl der Pflanzen. Recherchen und Telefonate mit Baumschulen.</t>
  </si>
  <si>
    <t>Versandkosten</t>
  </si>
  <si>
    <t>1jährig, 15-30 cm, 0,95€/Stück.</t>
  </si>
  <si>
    <t xml:space="preserve">2jährig, 30-50 cm, 2,05 €/Stück. </t>
  </si>
  <si>
    <t xml:space="preserve">2jährig, 30-50 cm, 2,43€/Stück. </t>
  </si>
  <si>
    <t>Himbeeren aus dem eigenen Bestand vermehrt (gelbe Himbeere aus Witzenhausen ohne Zuchtschutz)</t>
  </si>
  <si>
    <t xml:space="preserve">1jährig, 15-30 cm, 0,86€/Stück. </t>
  </si>
  <si>
    <t>Versand von 2 Baumschulen, anteilige Kosten</t>
  </si>
  <si>
    <t>Recherche Pflanzgut</t>
  </si>
  <si>
    <t>Recherche, Beantragung von Einzelgenehmigungen für Pflanzgut in konventioneller Qualität (OrganicXSeed-Datenbank)</t>
  </si>
  <si>
    <t xml:space="preserve">PC, Logindaten für OrganicXSeed </t>
  </si>
  <si>
    <t>420 m</t>
  </si>
  <si>
    <t>Telefonat; Vor-Ort-Termin mit Vertreter vom Gasnetz</t>
  </si>
  <si>
    <t>10 min Telefonat, 20 min Vor-Ort-Termin</t>
  </si>
  <si>
    <t>Beim Futterlaub wurden 11 Anfangspunkte für die Pflanzabschnitte eingemessen. Dann konnte von da aus in 1m Schritten gepflanzt werden.</t>
  </si>
  <si>
    <t>Fräsen</t>
  </si>
  <si>
    <t>Pflügen</t>
  </si>
  <si>
    <t>Pflanzgut verladen</t>
  </si>
  <si>
    <t xml:space="preserve">Gehölzstreifen fräsen. Umbruch der Grasnarbe für die Etablierung der Futterlaubhecke. </t>
  </si>
  <si>
    <t>415 Fendt Vario, Howard Fräse mit 2 m Arbeitsbreite</t>
  </si>
  <si>
    <t>Gehölzstreifen für die Etablierung der jungen Pflanzen pflügen, Grasnarbe unterdrücken.</t>
  </si>
  <si>
    <t>40 min Rüstzeit</t>
  </si>
  <si>
    <t>10 min Rüstzeit</t>
  </si>
  <si>
    <t>415 Fendt Vario, Pflug</t>
  </si>
  <si>
    <t>Mulchmaterial</t>
  </si>
  <si>
    <t>10 l</t>
  </si>
  <si>
    <t>Effektive Mikroorganismen (EMs)</t>
  </si>
  <si>
    <t>415 Fendt Vario, Kramer Teleskoplader (110PS), Futtermischwagen, Forke</t>
  </si>
  <si>
    <t>Pflanzen wurden durch Baumschule angeliefert und auf dem Hof verladen. Aufgrund niedriger Temperaturen wurden die Pflanzen in Heu eingeschlagen.</t>
  </si>
  <si>
    <t>Spaten</t>
  </si>
  <si>
    <t>Heu</t>
  </si>
  <si>
    <t>1 Bund</t>
  </si>
  <si>
    <t>Einschlag vorbereiten: Graben ziehen auf ca. 20-30 cm. Dann Gehölze dort schräg einlegen und mit Erde füllen, damit sie wieder schnell entnommen werden können für die zeitverzögerte Pflanzung.</t>
  </si>
  <si>
    <t>Vorbereitung der Pflanzung</t>
  </si>
  <si>
    <t>Holzhackschnitzel auf dem Baumstreifen verteilen.</t>
  </si>
  <si>
    <t>Spaten, Schubkarre</t>
  </si>
  <si>
    <t>Holzhackschnitzel</t>
  </si>
  <si>
    <t>Pflanzpunkte einmessen, Pflanzung</t>
  </si>
  <si>
    <t>Tätigkeit</t>
  </si>
  <si>
    <t>Pflanzpunkte einmessen und mit Robinienstäben markieren. Pflanzung von Futterlaubgehölzen (Holunder, Linden): Pflanzloch ausheben, Pflanzgut holen und setzen, Loch füllen, Baumschutz anbringen (kleiner Hasendraht)</t>
  </si>
  <si>
    <t>Messgerät RTK Calibrated Surveyor Kit, Spaten.</t>
  </si>
  <si>
    <t xml:space="preserve">Pflanzgut,  Baumschutz (Hasendraht). </t>
  </si>
  <si>
    <t>Mulchen mit Holzhackschnitzeln wurde in dem Schritt noch nicht gemacht. Messgeräte wurden zu Fuß/Fahrrad zum Feld transportiert</t>
  </si>
  <si>
    <t>Pflanzung von Futterlaubgehölzen (Eschen, Maulbeeren): Pflanzloch ausheben, Pflanzgut holen und setzen, Loch füllen, Baumschutz anbringen (Hasendraht)</t>
  </si>
  <si>
    <t xml:space="preserve">Spaten </t>
  </si>
  <si>
    <t>Pflanzgut,  Baumschutz (Hasendraht), alter Jutesack</t>
  </si>
  <si>
    <t>Erdaushub mit Trennung:  Bei den größeren Pflanzen wurden mit Hilfe des Jutescaks die oberen 10 cm Boden von den unteren getrennt, damit es keine Vermischung von Unter- und Oberboden gibt.</t>
  </si>
  <si>
    <r>
      <rPr>
        <b/>
        <sz val="11"/>
        <rFont val="Calibri"/>
        <family val="2"/>
        <scheme val="minor"/>
      </rPr>
      <t>Arbeitszeit in min</t>
    </r>
    <r>
      <rPr>
        <b/>
        <sz val="11"/>
        <color theme="1"/>
        <rFont val="Calibri"/>
        <family val="2"/>
        <scheme val="minor"/>
      </rPr>
      <t xml:space="preserve"> </t>
    </r>
    <r>
      <rPr>
        <sz val="11"/>
        <color rgb="FF0070C0"/>
        <rFont val="Calibri"/>
        <family val="2"/>
        <scheme val="minor"/>
      </rPr>
      <t>inklusive Rüst- und Wegezeiten; Wegezeit: 5 min pro Weg</t>
    </r>
  </si>
  <si>
    <r>
      <rPr>
        <b/>
        <sz val="11"/>
        <rFont val="Calibri"/>
        <family val="2"/>
        <scheme val="minor"/>
      </rPr>
      <t xml:space="preserve">Arbeitsstunden Fachkräfte </t>
    </r>
    <r>
      <rPr>
        <sz val="11"/>
        <color rgb="FF0070C0"/>
        <rFont val="Calibri"/>
        <family val="2"/>
        <scheme val="minor"/>
      </rPr>
      <t>(Anzahl Arbeitskräfte * Arbeitszeit)</t>
    </r>
  </si>
  <si>
    <r>
      <rPr>
        <b/>
        <sz val="11"/>
        <rFont val="Calibri"/>
        <family val="2"/>
        <scheme val="minor"/>
      </rPr>
      <t>Arbeitsstunden Hilfskräfte</t>
    </r>
    <r>
      <rPr>
        <b/>
        <sz val="11"/>
        <color theme="1"/>
        <rFont val="Calibri"/>
        <family val="2"/>
        <scheme val="minor"/>
      </rPr>
      <t xml:space="preserve"> </t>
    </r>
    <r>
      <rPr>
        <sz val="11"/>
        <color rgb="FF0070C0"/>
        <rFont val="Calibri"/>
        <family val="2"/>
        <scheme val="minor"/>
      </rPr>
      <t>(Anzahl Arbeitskräfte * Arbeitszeit)</t>
    </r>
  </si>
  <si>
    <r>
      <rPr>
        <b/>
        <sz val="11"/>
        <rFont val="Calibri"/>
        <family val="2"/>
        <scheme val="minor"/>
      </rPr>
      <t>Anmerkungen</t>
    </r>
    <r>
      <rPr>
        <sz val="12"/>
        <color theme="1"/>
        <rFont val="Calibri"/>
        <family val="2"/>
        <scheme val="minor"/>
      </rPr>
      <t xml:space="preserve"> </t>
    </r>
    <r>
      <rPr>
        <sz val="11"/>
        <color rgb="FF0070C0"/>
        <rFont val="Calibri"/>
        <family val="2"/>
        <scheme val="minor"/>
      </rPr>
      <t>(z.B. unterschiedliche Arbeitszeiten/ Qualifikationen)</t>
    </r>
  </si>
  <si>
    <r>
      <rPr>
        <b/>
        <sz val="11"/>
        <rFont val="Calibri"/>
        <family val="2"/>
        <scheme val="minor"/>
      </rPr>
      <t>Betriebsmittel</t>
    </r>
    <r>
      <rPr>
        <b/>
        <sz val="11"/>
        <color theme="1"/>
        <rFont val="Calibri"/>
        <family val="2"/>
        <scheme val="minor"/>
      </rPr>
      <t xml:space="preserve"> </t>
    </r>
    <r>
      <rPr>
        <sz val="11"/>
        <color rgb="FF0070C0"/>
        <rFont val="Calibri"/>
        <family val="2"/>
        <scheme val="minor"/>
      </rPr>
      <t>(z.B. Pflanzgut, Wuchshüllen, Wasser, Mulch, Dünger,...)</t>
    </r>
  </si>
  <si>
    <r>
      <t>Pflanzung von Futterlaubgehölzen (Holunder, Linden): Pflanzloch ausheben, Pflanzgut holen und setzen, Loch füllen, Baumschutz anbringen (</t>
    </r>
    <r>
      <rPr>
        <sz val="11"/>
        <rFont val="Calibri"/>
        <family val="2"/>
        <scheme val="minor"/>
      </rPr>
      <t>Hasendraht)</t>
    </r>
  </si>
  <si>
    <r>
      <t>Eschen (</t>
    </r>
    <r>
      <rPr>
        <i/>
        <sz val="11"/>
        <rFont val="Calibri"/>
        <family val="2"/>
        <scheme val="minor"/>
      </rPr>
      <t>Fraxinus excelsior</t>
    </r>
    <r>
      <rPr>
        <sz val="12"/>
        <rFont val="Calibri"/>
        <family val="2"/>
        <scheme val="minor"/>
      </rPr>
      <t>)</t>
    </r>
  </si>
  <si>
    <r>
      <t>Maulbeeren (</t>
    </r>
    <r>
      <rPr>
        <i/>
        <sz val="11"/>
        <rFont val="Calibri"/>
        <family val="2"/>
        <scheme val="minor"/>
      </rPr>
      <t>Morus nigra</t>
    </r>
    <r>
      <rPr>
        <sz val="12"/>
        <rFont val="Calibri"/>
        <family val="2"/>
        <scheme val="minor"/>
      </rPr>
      <t>)</t>
    </r>
  </si>
  <si>
    <r>
      <t xml:space="preserve">Himbeerpflanzen </t>
    </r>
    <r>
      <rPr>
        <sz val="11"/>
        <rFont val="Calibri"/>
        <family val="2"/>
        <scheme val="minor"/>
      </rPr>
      <t>(eigene Zucht)</t>
    </r>
  </si>
  <si>
    <r>
      <t>Waldhasel (</t>
    </r>
    <r>
      <rPr>
        <i/>
        <sz val="11"/>
        <rFont val="Calibri"/>
        <family val="2"/>
        <scheme val="minor"/>
      </rPr>
      <t>Corylus avellana</t>
    </r>
    <r>
      <rPr>
        <sz val="12"/>
        <rFont val="Calibri"/>
        <family val="2"/>
        <scheme val="minor"/>
      </rPr>
      <t>)</t>
    </r>
  </si>
  <si>
    <r>
      <rPr>
        <sz val="12"/>
        <rFont val="Calibri"/>
        <family val="2"/>
        <scheme val="minor"/>
      </rPr>
      <t>Circa 2 Wochen bis zur Genehmigung einplanen,</t>
    </r>
    <r>
      <rPr>
        <sz val="12"/>
        <color theme="1"/>
        <rFont val="Calibri"/>
        <family val="2"/>
        <scheme val="minor"/>
      </rPr>
      <t xml:space="preserve"> </t>
    </r>
    <r>
      <rPr>
        <sz val="11"/>
        <color rgb="FF0070C0"/>
        <rFont val="Calibri"/>
        <family val="2"/>
        <scheme val="minor"/>
      </rPr>
      <t>https://www.organicxseeds.de/#</t>
    </r>
  </si>
  <si>
    <r>
      <t xml:space="preserve">Planung: </t>
    </r>
    <r>
      <rPr>
        <sz val="12"/>
        <rFont val="Calibri"/>
        <family val="2"/>
        <scheme val="minor"/>
      </rPr>
      <t>Erkenntnisse der Standortanalyse besprechen</t>
    </r>
  </si>
  <si>
    <r>
      <t xml:space="preserve">Planungsziele schärfen und </t>
    </r>
    <r>
      <rPr>
        <sz val="12"/>
        <rFont val="Calibri"/>
        <family val="2"/>
        <scheme val="minor"/>
      </rPr>
      <t>neue Ideen besprechen: Welchen Zweck soll das Agroforstsystem erfüllen? Design? Artenauswahl und Baumschutz besprechen</t>
    </r>
  </si>
  <si>
    <r>
      <t>Sommerlinden (</t>
    </r>
    <r>
      <rPr>
        <i/>
        <sz val="11"/>
        <rFont val="Calibri"/>
        <family val="2"/>
        <scheme val="minor"/>
      </rPr>
      <t>Tilia platyphyllos</t>
    </r>
    <r>
      <rPr>
        <sz val="12"/>
        <rFont val="Calibri"/>
        <family val="2"/>
        <scheme val="minor"/>
      </rPr>
      <t>)</t>
    </r>
  </si>
  <si>
    <t>Pflanzung von Futterlaubgehölzen (Linden, Maulbeeren): teilweise gefrorenen Silagemulch entfernen, Pflanzloch ausheben, Pflanzgut holen und setzen, Loch füllen, Baumschutz anbringen (Hasendraht)</t>
  </si>
  <si>
    <t>Spaten, Schubkarre.</t>
  </si>
  <si>
    <t>Pflanzgut, Hasendraht</t>
  </si>
  <si>
    <t>Pflanzung von Futterlaubgehölzen (Linden, Maulbeeren): teilweise gefrorenen Silagemulch entfernen, Pflanzloch ausheben, Pflanzgut holen und setzen, Loch füllen, Baumschutz anbringen (Hasendraht). Eingeschlagenes / eingegrabenes Pflanzgut aus betriebseigener Baumschule ausgraben.</t>
  </si>
  <si>
    <t>Pflanzung von Futterlaubgehölzen (Eschen, Hasel): teilweise gefrorenen Silagemulch entfernen, Pflanzloch ausheben, Pflanzgut holen und setzen, Loch füllen, Baumschutz anbringen (Hasendraht). Eingeschlagenes / eingegrabenes Pflanzgut aus betriebseigener Baumschule ausgraben.</t>
  </si>
  <si>
    <t>5 min Rüstzeit</t>
  </si>
  <si>
    <t>Drei Arbeitskräfte waren jeweils 85 min anwesend, zwei Arbeitskräfte jeweils 50 min. 5 min Rüstzeit.</t>
  </si>
  <si>
    <t>Inkl. Einarbeitung einer Praktikantin (30 min). 5 min Rüstzeit.</t>
  </si>
  <si>
    <t>Kramer Teleskoplader (110 PS), Viehwagen</t>
  </si>
  <si>
    <t>Der Viehwagen ist während der gesamten Pflanzzeit auf der Wiese geblieben. Deshalb besteht bei den Pflanzungen die Rüstzeit i.d.R. nur aus dem Weg zur Fläche und dem Zusammensuchen der Materialien aus dem Viehwagen.</t>
  </si>
  <si>
    <t>Pflanzgut</t>
  </si>
  <si>
    <t>Spaten,Teleskoplader als Transportmittel, Bagger, Schubkarre.</t>
  </si>
  <si>
    <t>Entnahme und Pflanzung der Himbeeren: auspflanzen, Pflanzlöcher vorbereiten, pflanzen, mulchen</t>
  </si>
  <si>
    <t>Einzäunung Futterlaub</t>
  </si>
  <si>
    <t>Eichenpfähle setzen, Zaun spannen und anbringen (Metalllitze)</t>
  </si>
  <si>
    <t>Teleskoplader, Hammer, Zaunspanner, Handwerkzeug</t>
  </si>
  <si>
    <t>15 min Rüstzeit (Beladen)</t>
  </si>
  <si>
    <t>Futtermischwagen Siloking mit Querförderband; Teleskoplader Kramer, Trecker Fendt Farmer 110</t>
  </si>
  <si>
    <t>8 t</t>
  </si>
  <si>
    <t>Mulch: 20% Holzhackschnitzel, 20% Rindermist, 60% Silage</t>
  </si>
  <si>
    <t xml:space="preserve">Güllewagen als Wassertank mit Schlauch mit Löchern zur Bewässerung/Beregnung. </t>
  </si>
  <si>
    <t>Güllewagen 10³; Trecker Fendt Farmer 110</t>
  </si>
  <si>
    <t xml:space="preserve">Der Verbissschutz muss vor dem Winter geprüft werden, damit hungriges Wild keine Rinde abnagt. </t>
  </si>
  <si>
    <t>Der Verbissschutz muss ebenfalls nach der Winterpause geprüft werden, damit bei der Beweidung der Baumschutz gut sitzt.</t>
  </si>
  <si>
    <r>
      <rPr>
        <u/>
        <sz val="11"/>
        <rFont val="Calibri"/>
        <family val="2"/>
        <scheme val="minor"/>
      </rPr>
      <t>Vor Winterbeginn</t>
    </r>
    <r>
      <rPr>
        <sz val="11"/>
        <rFont val="Calibri"/>
        <family val="2"/>
        <scheme val="minor"/>
      </rPr>
      <t xml:space="preserve"> Baumschutz kontrollieren und  nachbessern</t>
    </r>
  </si>
  <si>
    <r>
      <rPr>
        <u/>
        <sz val="11"/>
        <rFont val="Calibri"/>
        <family val="2"/>
        <scheme val="minor"/>
      </rPr>
      <t>Vor Beginn der Weidesaison</t>
    </r>
    <r>
      <rPr>
        <sz val="11"/>
        <rFont val="Calibri"/>
        <family val="2"/>
        <scheme val="minor"/>
      </rPr>
      <t>: Baumschutz kontrollieren und  nachbessern</t>
    </r>
  </si>
  <si>
    <t>400 l</t>
  </si>
  <si>
    <t>600 l</t>
  </si>
  <si>
    <t>Mulchen mit einer nährstoffreicheren Mischung (20% Holzhackschnitzel, 20% Rindermist und 60% Silage)</t>
  </si>
  <si>
    <t>Pflanzgut, Gehölze</t>
  </si>
  <si>
    <t>Ausfallquote 4 % (~20 Pflanzen), händisches Nachpflanzen</t>
  </si>
  <si>
    <t>Nachpflanzen (falls relevant)</t>
  </si>
  <si>
    <t>Kontrollgang Baumschutz</t>
  </si>
  <si>
    <t>Kontrollgang: Baumschutz</t>
  </si>
  <si>
    <t>Verbissschutz prüfen, damit bei der Beweidung der Baumschutz gut sitzt.</t>
  </si>
  <si>
    <t>Benzin; Diesel</t>
  </si>
  <si>
    <t>Maschinenkosten Teleskoplader</t>
  </si>
  <si>
    <t>Sommerlinde, Eschen</t>
  </si>
  <si>
    <t>Quelle: https://opera-connaissances.chambres-agriculture.fr/doc_num.php?explnum_id=207954</t>
  </si>
  <si>
    <t>Quelle: https://www.agrarforschungschweiz.ch/wp-content/uploads/2025/04/Galland_Production_vegetale.pdf</t>
  </si>
  <si>
    <t>Baumart</t>
  </si>
  <si>
    <t>Summe:</t>
  </si>
  <si>
    <t>Holunder, Maulbeere, Hasel:</t>
  </si>
  <si>
    <t>Insg. 40 Bäume, jährlich werden ein Drittel (13,3) beschnitten</t>
  </si>
  <si>
    <t>10 Jahre</t>
  </si>
  <si>
    <t>5 Jahre</t>
  </si>
  <si>
    <t>8 Jahre</t>
  </si>
  <si>
    <t>kg TM / Jahr &amp; Baum</t>
  </si>
  <si>
    <t>15 Jahre</t>
  </si>
  <si>
    <t>20 Jahre</t>
  </si>
  <si>
    <t xml:space="preserve">25 Jahre </t>
  </si>
  <si>
    <t>dt TM / Jahr: 13,3 Bäume</t>
  </si>
  <si>
    <t>in dt TM Wiesenheu</t>
  </si>
  <si>
    <t>14 € /dt TM</t>
  </si>
  <si>
    <t>Sommerlinden, Eschen (jährlich)</t>
  </si>
  <si>
    <t>Holunder /  Maulbeeren / Waldhasel (jährlich)</t>
  </si>
  <si>
    <t>Lichtraumprofilschneidegerät</t>
  </si>
  <si>
    <t>Ernte (Alternative)</t>
  </si>
  <si>
    <t>Kostenersparnis</t>
  </si>
  <si>
    <t xml:space="preserve">Hinweise: </t>
  </si>
  <si>
    <t>Kappung auf 1,5 - 2 m Höhe alle 3 Jahre</t>
  </si>
  <si>
    <t>Annahme:</t>
  </si>
  <si>
    <t>Monetärer Wert extensiver Weide für Milchkühe: 14 € / dt TM &amp; Jahr</t>
  </si>
  <si>
    <r>
      <t>Schwarzer Holunder (</t>
    </r>
    <r>
      <rPr>
        <i/>
        <sz val="11"/>
        <rFont val="Calibri"/>
        <family val="2"/>
        <scheme val="minor"/>
      </rPr>
      <t>Sambucus nigra</t>
    </r>
    <r>
      <rPr>
        <sz val="12"/>
        <rFont val="Calibri"/>
        <family val="2"/>
        <scheme val="minor"/>
      </rPr>
      <t>)</t>
    </r>
  </si>
  <si>
    <r>
      <t xml:space="preserve">Einzahlungen </t>
    </r>
    <r>
      <rPr>
        <sz val="12"/>
        <rFont val="Calibri"/>
        <family val="2"/>
        <scheme val="minor"/>
      </rPr>
      <t>(Erlöse)</t>
    </r>
  </si>
  <si>
    <r>
      <t xml:space="preserve">Auszahlungen </t>
    </r>
    <r>
      <rPr>
        <sz val="12"/>
        <rFont val="Calibri"/>
        <family val="2"/>
        <scheme val="minor"/>
      </rPr>
      <t>(Investitionen)</t>
    </r>
  </si>
  <si>
    <r>
      <t xml:space="preserve">Netto-Cashflow </t>
    </r>
    <r>
      <rPr>
        <sz val="12"/>
        <rFont val="Calibri"/>
        <family val="2"/>
        <scheme val="minor"/>
      </rPr>
      <t>(Einzahlung minus Auszahlung)</t>
    </r>
  </si>
  <si>
    <r>
      <t xml:space="preserve">Barwert </t>
    </r>
    <r>
      <rPr>
        <sz val="12"/>
        <rFont val="Calibri"/>
        <family val="2"/>
        <scheme val="minor"/>
      </rPr>
      <t>(heutiger Wert einer zukünftigen Zahlung)</t>
    </r>
  </si>
  <si>
    <r>
      <t xml:space="preserve">Da Holunder erst nach 6-7 Jahren ausgewachsen ist: </t>
    </r>
    <r>
      <rPr>
        <b/>
        <sz val="12"/>
        <rFont val="Calibri"/>
        <family val="2"/>
        <scheme val="minor"/>
      </rPr>
      <t>~ 3 t TM pro ha und Jahr ab Jahr 7</t>
    </r>
    <r>
      <rPr>
        <sz val="12"/>
        <rFont val="Calibri"/>
        <family val="2"/>
        <scheme val="minor"/>
      </rPr>
      <t xml:space="preserve"> (ungedüngt)</t>
    </r>
  </si>
  <si>
    <r>
      <t xml:space="preserve">Entspricht ~25 kg mittelgutem Wiesenheu </t>
    </r>
    <r>
      <rPr>
        <sz val="12"/>
        <rFont val="Calibri"/>
        <family val="2"/>
        <scheme val="minor"/>
      </rPr>
      <t>(s.Machatschek) = 0,25 dt / Jahr</t>
    </r>
  </si>
  <si>
    <r>
      <t xml:space="preserve">Gibt es </t>
    </r>
    <r>
      <rPr>
        <b/>
        <sz val="14"/>
        <rFont val="Calibri"/>
        <family val="2"/>
        <scheme val="minor"/>
      </rPr>
      <t>neue Erkenntnisse</t>
    </r>
    <r>
      <rPr>
        <sz val="14"/>
        <rFont val="Calibri"/>
        <family val="2"/>
        <scheme val="minor"/>
      </rPr>
      <t xml:space="preserve"> zu den Futterlauberträgen von Sommerlinden (</t>
    </r>
    <r>
      <rPr>
        <i/>
        <sz val="14"/>
        <rFont val="Calibri"/>
        <family val="2"/>
        <scheme val="minor"/>
      </rPr>
      <t>Tilia platyphyllos</t>
    </r>
    <r>
      <rPr>
        <sz val="14"/>
        <rFont val="Calibri"/>
        <family val="2"/>
        <scheme val="minor"/>
      </rPr>
      <t>), Holunder (</t>
    </r>
    <r>
      <rPr>
        <i/>
        <sz val="14"/>
        <rFont val="Calibri"/>
        <family val="2"/>
        <scheme val="minor"/>
      </rPr>
      <t>Sambucus nigra</t>
    </r>
    <r>
      <rPr>
        <sz val="14"/>
        <rFont val="Calibri"/>
        <family val="2"/>
        <scheme val="minor"/>
      </rPr>
      <t>), Eschen (</t>
    </r>
    <r>
      <rPr>
        <i/>
        <sz val="14"/>
        <rFont val="Calibri"/>
        <family val="2"/>
        <scheme val="minor"/>
      </rPr>
      <t>Fraxinus excelsior</t>
    </r>
    <r>
      <rPr>
        <sz val="14"/>
        <rFont val="Calibri"/>
        <family val="2"/>
        <scheme val="minor"/>
      </rPr>
      <t>), Maulbeeren (</t>
    </r>
    <r>
      <rPr>
        <i/>
        <sz val="14"/>
        <rFont val="Calibri"/>
        <family val="2"/>
        <scheme val="minor"/>
      </rPr>
      <t>Morus nigra</t>
    </r>
    <r>
      <rPr>
        <sz val="14"/>
        <rFont val="Calibri"/>
        <family val="2"/>
        <scheme val="minor"/>
      </rPr>
      <t>) und Waldhasel (</t>
    </r>
    <r>
      <rPr>
        <i/>
        <sz val="14"/>
        <rFont val="Calibri"/>
        <family val="2"/>
        <scheme val="minor"/>
      </rPr>
      <t>Corylus avellana</t>
    </r>
    <r>
      <rPr>
        <sz val="14"/>
        <rFont val="Calibri"/>
        <family val="2"/>
        <scheme val="minor"/>
      </rPr>
      <t xml:space="preserve">)? Bitte an </t>
    </r>
    <r>
      <rPr>
        <sz val="14"/>
        <color rgb="FF3333CC"/>
        <rFont val="Calibri"/>
        <family val="2"/>
        <scheme val="minor"/>
      </rPr>
      <t>oekonomie@defaf.de</t>
    </r>
    <r>
      <rPr>
        <sz val="14"/>
        <rFont val="Calibri"/>
        <family val="2"/>
        <scheme val="minor"/>
      </rPr>
      <t xml:space="preserve"> weiterleiten, um die </t>
    </r>
    <r>
      <rPr>
        <b/>
        <sz val="14"/>
        <rFont val="Calibri"/>
        <family val="2"/>
        <scheme val="minor"/>
      </rPr>
      <t>Berechnungen zu aktualisieren.</t>
    </r>
  </si>
  <si>
    <t>Neues Futterlaub-AFS, Rieckens Eichhof</t>
  </si>
  <si>
    <t>Absprachen zur Gasleitung mit Gasversorger</t>
  </si>
  <si>
    <t>Bestellung: Sommerlinden, Holunder, Eschen, Maulbeeren, Waldhasel</t>
  </si>
  <si>
    <t>Zwischenlager für  Baumschulgehölze vorbereiten</t>
  </si>
  <si>
    <t>Heraussuchen:  Baumschutz und benötigte Geräte. Transport von Betriebsmitteln, z.T. im Viehwagen.</t>
  </si>
  <si>
    <t>Beikrautkontrolle (Mulchen)</t>
  </si>
  <si>
    <r>
      <rPr>
        <u/>
        <sz val="11"/>
        <rFont val="Calibri"/>
        <family val="2"/>
        <scheme val="minor"/>
      </rPr>
      <t>Weidesaison</t>
    </r>
    <r>
      <rPr>
        <sz val="11"/>
        <rFont val="Calibri"/>
        <family val="2"/>
        <scheme val="minor"/>
      </rPr>
      <t>: Es wird keine zusätzliche Zeit dafür benötigt, da während der Weidesaison beim Holen der Tiere zum Melken kontrolliert wird.</t>
    </r>
  </si>
  <si>
    <r>
      <rPr>
        <u/>
        <sz val="11"/>
        <rFont val="Calibri"/>
        <family val="2"/>
        <scheme val="minor"/>
      </rPr>
      <t>Eichhof</t>
    </r>
    <r>
      <rPr>
        <sz val="11"/>
        <rFont val="Calibri"/>
        <family val="2"/>
        <scheme val="minor"/>
      </rPr>
      <t xml:space="preserve">: kostenloses Brunnenwasser. Das Güllefass hat eine Füllmenge von 10m³. Langsames Fahren mit 0,5km/h, mehrmaliges entlang fahren. </t>
    </r>
    <r>
      <rPr>
        <u/>
        <sz val="11"/>
        <rFont val="Calibri"/>
        <family val="2"/>
        <scheme val="minor"/>
      </rPr>
      <t>Beraterteam</t>
    </r>
    <r>
      <rPr>
        <sz val="11"/>
        <rFont val="Calibri"/>
        <family val="2"/>
        <scheme val="minor"/>
      </rPr>
      <t>: Kein weiteres Gießen geplant. Erfahrungswerte: Anwuchsgießen ist ausreichend.</t>
    </r>
  </si>
  <si>
    <t>Eichhof, Beraterteam</t>
  </si>
  <si>
    <r>
      <rPr>
        <u/>
        <sz val="11"/>
        <rFont val="Calibri"/>
        <family val="2"/>
        <scheme val="minor"/>
      </rPr>
      <t>Eichhof</t>
    </r>
    <r>
      <rPr>
        <sz val="11"/>
        <rFont val="Calibri"/>
        <family val="2"/>
        <scheme val="minor"/>
      </rPr>
      <t xml:space="preserve">: kostenloses Brunnenwasser. Das Güllefass hat eine Füllmenge von 10m³. Langsames Fahren mit 0,5km/h, mehrmaliges entlang fahren. </t>
    </r>
    <r>
      <rPr>
        <u/>
        <sz val="11"/>
        <rFont val="Calibri"/>
        <family val="2"/>
        <scheme val="minor"/>
      </rPr>
      <t>Beraterteam</t>
    </r>
    <r>
      <rPr>
        <sz val="11"/>
        <rFont val="Calibri"/>
        <family val="2"/>
        <scheme val="minor"/>
      </rPr>
      <t>: Einmaliges Gießen im 2. Jahr einplanen (bei Trockenheit). 1-2 Liter pro Baum (=210 - 420 Liter).</t>
    </r>
  </si>
  <si>
    <r>
      <rPr>
        <u/>
        <sz val="11"/>
        <rFont val="Calibri"/>
        <family val="2"/>
        <scheme val="minor"/>
      </rPr>
      <t>Ausfallquote</t>
    </r>
    <r>
      <rPr>
        <sz val="11"/>
        <rFont val="Calibri"/>
        <family val="2"/>
        <scheme val="minor"/>
      </rPr>
      <t xml:space="preserve">: basiert auf bisherigen Erfahrungen (Eichhof, Beraterteam)
</t>
    </r>
    <r>
      <rPr>
        <u/>
        <sz val="11"/>
        <rFont val="Calibri"/>
        <family val="2"/>
        <scheme val="minor"/>
      </rPr>
      <t>Pflanzgut</t>
    </r>
    <r>
      <rPr>
        <sz val="11"/>
        <rFont val="Calibri"/>
        <family val="2"/>
        <scheme val="minor"/>
      </rPr>
      <t xml:space="preserve">: aus eigener Baumschule (übriggebliebenes Pflanzgut für eventuelle Nachpflanzungen)
</t>
    </r>
    <r>
      <rPr>
        <u/>
        <sz val="11"/>
        <rFont val="Calibri"/>
        <family val="2"/>
        <scheme val="minor"/>
      </rPr>
      <t>Pflanzgutkosten</t>
    </r>
    <r>
      <rPr>
        <sz val="11"/>
        <rFont val="Calibri"/>
        <family val="2"/>
        <scheme val="minor"/>
      </rPr>
      <t>: Durchschnittlicher Stückpreis (Jahr 0)</t>
    </r>
  </si>
  <si>
    <t>27 €/h</t>
  </si>
  <si>
    <t>Der Arbeitsgang wurde für die drei neuen Agroforstsysteme gleichzeitig durchgeführt, anteilige Rüstzeit: 10 min</t>
  </si>
  <si>
    <t>Rücstzeit (3 AFS): 30 min</t>
  </si>
  <si>
    <t>27 €/h, 35 €/h</t>
  </si>
  <si>
    <t>35 €/h</t>
  </si>
  <si>
    <t>25 €/h, 35 €/h, 27 €/h = 87 €/ h</t>
  </si>
  <si>
    <t>Akku-Heckenschere Makita, Motorsäge, Teleskoplader</t>
  </si>
  <si>
    <t>Feuerverzinktes Drahtgitter, 0,56€/Stk Brutto. Aus vorhandenen Betriebsmitteln. Hasendraht: 1 Rolle mit 1 m x 10 m --&gt; 1 Schutz á 25 cm x 50 cm entspricht 80 Hasendrähten aus 10 m Rolle.
Der Hasendraht wird ca. 2 cm in den Boden eingedreht für stabilen Halt, es sind keine weiteren Hilfsmittel notwendig.</t>
  </si>
  <si>
    <t>Baumschutz: Hasendraht als Einzelbaumschutz</t>
  </si>
  <si>
    <t>Baumschutz: Mobiler Steckzaun mit drei Litzen, doppelt gezogen</t>
  </si>
  <si>
    <t>VOSS.farming Weidezaunlitze 420 m, 3x 0,25 Kupfer und 3x 0,20 Niro, weiß</t>
  </si>
  <si>
    <t>Baumschutz: Eichenpfähle</t>
  </si>
  <si>
    <r>
      <t>Beladen des Futtermischwagens mit Silagegrünschnitt (nicht futtergeeignete Silage). Mulchmaterial wird</t>
    </r>
    <r>
      <rPr>
        <sz val="12"/>
        <rFont val="Calibri"/>
        <family val="2"/>
        <scheme val="minor"/>
      </rPr>
      <t xml:space="preserve"> zerkleinert und gemischt, dann mit dem Einstreugebläse des Futtermischwagens ausgebracht. Mit Forke verteilen.</t>
    </r>
    <r>
      <rPr>
        <sz val="11"/>
        <rFont val="Calibri"/>
        <family val="2"/>
        <scheme val="minor"/>
      </rPr>
      <t xml:space="preserve"> </t>
    </r>
  </si>
  <si>
    <t xml:space="preserve">Eine Person muss  mitgehen und die jungen Gehölze von zu viel Mulch befreien. Arbeitsgeschwindigkeit 2-3 km/h. </t>
  </si>
  <si>
    <t>Die Verlängerung der Weidezeit (siehe Leitfaden) reduziert den Arbeitsaufwand um bis zu 100 Stunden. Es wird jedoch konservativ mit 60 Stunden gerechnet.</t>
  </si>
  <si>
    <t>Eichhof, Anja</t>
  </si>
  <si>
    <t>Zeitersparnis: 60 Arbeitsstunden (1/3 Fachkraft, 2/3 Hilfskräfte)</t>
  </si>
  <si>
    <r>
      <t xml:space="preserve">Hier wirken die drei neuen Agroforstsysteme – Obstsystem, Futterlaub und Windschutz – zusammen. Die </t>
    </r>
    <r>
      <rPr>
        <b/>
        <sz val="11"/>
        <rFont val="Calibri"/>
        <family val="2"/>
        <scheme val="minor"/>
      </rPr>
      <t>Zeitersparnis</t>
    </r>
    <r>
      <rPr>
        <sz val="11"/>
        <rFont val="Calibri"/>
        <family val="2"/>
        <scheme val="minor"/>
      </rPr>
      <t xml:space="preserve"> kann nur 1x verrechnet werden. Einsparungen bei den </t>
    </r>
    <r>
      <rPr>
        <b/>
        <sz val="11"/>
        <rFont val="Calibri"/>
        <family val="2"/>
        <scheme val="minor"/>
      </rPr>
      <t>Direktkosten</t>
    </r>
    <r>
      <rPr>
        <sz val="11"/>
        <rFont val="Calibri"/>
        <family val="2"/>
        <scheme val="minor"/>
      </rPr>
      <t xml:space="preserve"> sind möglich (v.a. Mineralstoffe, ggf. Tierarztkosten), wurden hier jedoch nicht berücksichtigt.</t>
    </r>
  </si>
  <si>
    <r>
      <rPr>
        <u/>
        <sz val="11"/>
        <rFont val="Calibri"/>
        <family val="2"/>
        <scheme val="minor"/>
      </rPr>
      <t>Kappen</t>
    </r>
    <r>
      <rPr>
        <sz val="11"/>
        <rFont val="Calibri"/>
        <family val="2"/>
        <scheme val="minor"/>
      </rPr>
      <t xml:space="preserve">: Insg. 140 min inkl. 20 min Rüstzeit. </t>
    </r>
    <r>
      <rPr>
        <u/>
        <sz val="11"/>
        <rFont val="Calibri"/>
        <family val="2"/>
        <scheme val="minor"/>
      </rPr>
      <t>Ernte der einjährigen Triebe</t>
    </r>
    <r>
      <rPr>
        <sz val="11"/>
        <rFont val="Calibri"/>
        <family val="2"/>
        <scheme val="minor"/>
      </rPr>
      <t>:  30 min pro Woche inkl. Rüstzeit über ~8 Wochen (240 min).</t>
    </r>
  </si>
  <si>
    <t>Jährliche motormanuelle Ernte der einjährigen Triebe für Frischfutter. Alle 3 Jahre Kappen der Bäume auf  1,5-2m Höhe für besseren Wiederaufwuchs.</t>
  </si>
  <si>
    <t>Zum Kappen der Bäume auf 1,5-2m Höhe</t>
  </si>
  <si>
    <t>Jährliche motormanuelle Ernte der einjährigen Triebe für Frischfutter.</t>
  </si>
  <si>
    <r>
      <rPr>
        <u/>
        <sz val="11"/>
        <rFont val="Calibri"/>
        <family val="2"/>
        <scheme val="minor"/>
      </rPr>
      <t>Ernte der einjährigen Triebe</t>
    </r>
    <r>
      <rPr>
        <sz val="11"/>
        <rFont val="Calibri"/>
        <family val="2"/>
        <scheme val="minor"/>
      </rPr>
      <t>:  30 min pro Woche inkl. Rüstzeit über ~8 Wochen.</t>
    </r>
  </si>
  <si>
    <t>Akku-Heckenschere Makita</t>
  </si>
  <si>
    <t xml:space="preserve"> Lohnarbeit (inkl. Anfahrtskosten)</t>
  </si>
  <si>
    <t>Lichtraumprofilschneidegerät: 2km/h; kostet 50 € / h (Annahme: insg. 50 €  für 0,2 km Futterlaubhecke und Anfahrtskosten)</t>
  </si>
  <si>
    <t>Beweidung (jährlich, 2 Wochen im Jahr, Zaun wird entfernt / wieder installiert). Alle 3 Jahre Rückschnitt mit Lichtraumprofilschneidegerät.</t>
  </si>
  <si>
    <t>Die Standortanalyse wurde für die drei neuen Agroforstsysteme gleichzeitig besprochen (jeweils ein Drittel der Gesamtzeit). Standortanalyse: dafür wurden Bodenproben auf 30-40 cm Tiefe an ca. 6 unterschiedlichen Orten auf der Koppel  entnommen. Ziel: Gesamtüberblick über die Koppel - unterer Teil der Wiese (für die Obstgehölze), Hanglage (für das Futterlaub), windexponierte Hanglage (für die Windschutzhecke) &amp; windgeschützte Hanglage als Vergleich. Planung der Futterlaubhecke: Erfahrungswerte aus dem alten System wurden besprochen und eine einreihige Anlage für bessere Arbeitswirtschaftlichkeit beschlossen.</t>
  </si>
  <si>
    <t>Trecker (Fendt Vario), Bremer Parallellockerer</t>
  </si>
  <si>
    <r>
      <t>Futterlauberlöse</t>
    </r>
    <r>
      <rPr>
        <sz val="12"/>
        <rFont val="Calibri"/>
        <family val="2"/>
        <scheme val="minor"/>
      </rPr>
      <t xml:space="preserve"> (Laut Leitfaden wird ab Jahr 5 geerntet)</t>
    </r>
  </si>
  <si>
    <t>Eichenbaumpfähle aus eigenem Bestand. 4,40 € / Stück (Netto). 180 cm Länge, 8-13 cm Durchmesser</t>
  </si>
  <si>
    <t>Mulchmaterial; 10 Liter EMs - für Mulchung mit magerem Material</t>
  </si>
  <si>
    <t>€ 2/l</t>
  </si>
  <si>
    <t>Mulchmaterial aus nicht verwertbaren Reststoffen</t>
  </si>
  <si>
    <t>Das Einschlagen in Heu war eine spontane Lösung, um die Pflanzen vor Kälte zu schützen. Bund Heu: € 3 /Stück.</t>
  </si>
  <si>
    <t>Teleskoplader als Transportfahrzeug (keine Rüstzeit); Pflanzung 20 Minuten mit Bagger vorbereiten. Begradigung der Hecke: Himbeeren wurden händisch an ihren finalen Standort gesetzt, um eine gerade Linie mit den übrigen Pflanzen zu bilden.</t>
  </si>
  <si>
    <r>
      <t xml:space="preserve">Das </t>
    </r>
    <r>
      <rPr>
        <u/>
        <sz val="11"/>
        <rFont val="Calibri"/>
        <family val="2"/>
        <scheme val="minor"/>
      </rPr>
      <t>Schnittgut</t>
    </r>
    <r>
      <rPr>
        <sz val="11"/>
        <rFont val="Calibri"/>
        <family val="2"/>
        <scheme val="minor"/>
      </rPr>
      <t xml:space="preserve"> wird im Hochsommer (Juni - Juli) als zusätzliche Futterkomponente für die Rinder verwendet. </t>
    </r>
    <r>
      <rPr>
        <u/>
        <sz val="11"/>
        <rFont val="Calibri"/>
        <family val="2"/>
        <scheme val="minor"/>
      </rPr>
      <t>Weitere Ziele der Maßnahmen</t>
    </r>
    <r>
      <rPr>
        <sz val="11"/>
        <rFont val="Calibri"/>
        <family val="2"/>
        <scheme val="minor"/>
      </rPr>
      <t xml:space="preserve">: Wachstum in die Breite, besserer Wiederaufwuchs. </t>
    </r>
    <r>
      <rPr>
        <u/>
        <sz val="11"/>
        <rFont val="Calibri"/>
        <family val="2"/>
        <scheme val="minor"/>
      </rPr>
      <t>Hinweis</t>
    </r>
    <r>
      <rPr>
        <sz val="11"/>
        <rFont val="Calibri"/>
        <family val="2"/>
        <scheme val="minor"/>
      </rPr>
      <t>: Die Arbeit könnte nach Anleitung auch von einer Hilfskraft erledigt werden.</t>
    </r>
  </si>
  <si>
    <r>
      <t xml:space="preserve">Das </t>
    </r>
    <r>
      <rPr>
        <u/>
        <sz val="11"/>
        <rFont val="Calibri"/>
        <family val="2"/>
        <scheme val="minor"/>
      </rPr>
      <t>Schnittgut</t>
    </r>
    <r>
      <rPr>
        <sz val="11"/>
        <rFont val="Calibri"/>
        <family val="2"/>
        <scheme val="minor"/>
      </rPr>
      <t xml:space="preserve"> wird im Hochsommer (Juni - Juli) als zusätzliche Futterkomponente für die Rinder verwendet. </t>
    </r>
    <r>
      <rPr>
        <u/>
        <sz val="11"/>
        <rFont val="Calibri"/>
        <family val="2"/>
        <scheme val="minor"/>
      </rPr>
      <t>Weitere Ziele der Maßnahmen</t>
    </r>
    <r>
      <rPr>
        <sz val="11"/>
        <rFont val="Calibri"/>
        <family val="2"/>
        <scheme val="minor"/>
      </rPr>
      <t xml:space="preserve">: Wachstum in die Breite. </t>
    </r>
    <r>
      <rPr>
        <u/>
        <sz val="11"/>
        <rFont val="Calibri"/>
        <family val="2"/>
        <scheme val="minor"/>
      </rPr>
      <t>Hinweis</t>
    </r>
    <r>
      <rPr>
        <sz val="11"/>
        <rFont val="Calibri"/>
        <family val="2"/>
        <scheme val="minor"/>
      </rPr>
      <t>: Die Arbeit könnte nach Anleitung auch von einer Hilfskraft erledigt werden.</t>
    </r>
  </si>
  <si>
    <t>60 min Rückschnitt (Begleitung der Lohnarbeit inkl. Vorbereitung).  Aufbau und Abbau Mobilzaun: jeweils 5 Minuten. Mit festen Pfählen: ca. 15 Minuten.</t>
  </si>
  <si>
    <t>16t</t>
  </si>
  <si>
    <t>Bruttopreis Mulch: € 75</t>
  </si>
  <si>
    <t>4 Schub-karren</t>
  </si>
  <si>
    <t>Die Holzhackschnitzel wurden mit der Schubkarre für die kleinen Baumscheiben transportiert. Das Mulchen wurde erst im Pflanzprozess vorgenommen.</t>
  </si>
  <si>
    <r>
      <rPr>
        <u/>
        <sz val="11"/>
        <rFont val="Calibri"/>
        <family val="2"/>
        <scheme val="minor"/>
      </rPr>
      <t>Annahme</t>
    </r>
    <r>
      <rPr>
        <sz val="11"/>
        <rFont val="Calibri"/>
        <family val="2"/>
        <scheme val="minor"/>
      </rPr>
      <t>: jährlicher Anstieg der Lohnkosten um 2%</t>
    </r>
  </si>
  <si>
    <r>
      <rPr>
        <u/>
        <sz val="12"/>
        <rFont val="Calibri"/>
        <family val="2"/>
        <scheme val="minor"/>
      </rPr>
      <t>Baumstreifen</t>
    </r>
    <r>
      <rPr>
        <sz val="12"/>
        <rFont val="Calibri"/>
        <family val="2"/>
        <scheme val="minor"/>
      </rPr>
      <t xml:space="preserve">: </t>
    </r>
  </si>
  <si>
    <t>insg. 207 m Länge, 2 m Breite. Fläche: 414 m² = 0,04 ha</t>
  </si>
  <si>
    <r>
      <rPr>
        <u/>
        <sz val="12"/>
        <rFont val="Calibri"/>
        <family val="2"/>
        <scheme val="minor"/>
      </rPr>
      <t>Verwendung</t>
    </r>
    <r>
      <rPr>
        <sz val="12"/>
        <rFont val="Calibri"/>
        <family val="2"/>
        <scheme val="minor"/>
      </rPr>
      <t xml:space="preserve">: </t>
    </r>
  </si>
  <si>
    <t>Als Frischfutter im Sommer</t>
  </si>
  <si>
    <r>
      <rPr>
        <u/>
        <sz val="12"/>
        <rFont val="Calibri"/>
        <family val="2"/>
        <scheme val="minor"/>
      </rPr>
      <t>Seitentriebe</t>
    </r>
    <r>
      <rPr>
        <sz val="12"/>
        <rFont val="Calibri"/>
        <family val="2"/>
        <scheme val="minor"/>
      </rPr>
      <t xml:space="preserve">: </t>
    </r>
  </si>
  <si>
    <t>Motormanuelle Ernte der einjährigen Triebe in 3 Abschnitten = 69 m / Jahr = 0,014 ha</t>
  </si>
  <si>
    <t>Kappung der Bäume auf 1,5-2m Höhe nach 3 Jahren</t>
  </si>
  <si>
    <r>
      <rPr>
        <u/>
        <sz val="12"/>
        <rFont val="Calibri"/>
        <family val="2"/>
        <scheme val="minor"/>
      </rPr>
      <t>Schneiteln</t>
    </r>
    <r>
      <rPr>
        <sz val="12"/>
        <rFont val="Calibri"/>
        <family val="2"/>
        <scheme val="minor"/>
      </rPr>
      <t xml:space="preserve">: </t>
    </r>
  </si>
  <si>
    <t xml:space="preserve">125 kg Laubreisig entspricht etwa 100 kg mittelgutem Wiesenheu </t>
  </si>
  <si>
    <r>
      <rPr>
        <u/>
        <sz val="12"/>
        <rFont val="Calibri"/>
        <family val="2"/>
        <scheme val="minor"/>
      </rPr>
      <t>Orientierungswert</t>
    </r>
    <r>
      <rPr>
        <sz val="12"/>
        <rFont val="Calibri"/>
        <family val="2"/>
        <scheme val="minor"/>
      </rPr>
      <t>:</t>
    </r>
  </si>
  <si>
    <t>1,4 t TM pro ha und Jahr bei einer ungedüngten, dreijährigen Pflanzung als Futterlaub</t>
  </si>
  <si>
    <t>Quelle: M. Machatschek, Laubgeschichten</t>
  </si>
  <si>
    <t>Quelle: https://revistas.uptc.edu.co/index.php/ciencia_en_desarrollo/article/download/9098/8635/33004</t>
  </si>
  <si>
    <t>werden aufgrund fehlender Daten wie Holunder gehandhabt.</t>
  </si>
  <si>
    <r>
      <rPr>
        <u/>
        <sz val="12"/>
        <rFont val="Calibri"/>
        <family val="2"/>
        <scheme val="minor"/>
      </rPr>
      <t>Maulbeeren, Waldhasel</t>
    </r>
    <r>
      <rPr>
        <sz val="12"/>
        <rFont val="Calibri"/>
        <family val="2"/>
        <scheme val="minor"/>
      </rPr>
      <t xml:space="preserve">: </t>
    </r>
  </si>
  <si>
    <r>
      <rPr>
        <u/>
        <sz val="12"/>
        <rFont val="Calibri"/>
        <family val="2"/>
        <scheme val="minor"/>
      </rPr>
      <t>Anteil im Baumstreifen</t>
    </r>
    <r>
      <rPr>
        <sz val="12"/>
        <rFont val="Calibri"/>
        <family val="2"/>
        <scheme val="minor"/>
      </rPr>
      <t xml:space="preserve">: </t>
    </r>
  </si>
  <si>
    <t>110 Pflanzen von insg. 150 Gehölzen = 73%. 73% der Fläche entspricht 0,03 ha (ein Drittel = 0,01 ha)</t>
  </si>
  <si>
    <t xml:space="preserve">Ertrag: </t>
  </si>
  <si>
    <r>
      <rPr>
        <b/>
        <sz val="12"/>
        <rFont val="Calibri"/>
        <family val="2"/>
        <scheme val="minor"/>
      </rPr>
      <t>30 kg / Jahr auf 0,01 ha</t>
    </r>
    <r>
      <rPr>
        <sz val="12"/>
        <rFont val="Calibri"/>
        <family val="2"/>
        <scheme val="minor"/>
      </rPr>
      <t xml:space="preserve"> (bei 3 t TM/ ha &amp; Jahr)</t>
    </r>
  </si>
  <si>
    <t>Entspricht:</t>
  </si>
  <si>
    <r>
      <rPr>
        <u/>
        <sz val="12"/>
        <rFont val="Calibri"/>
        <family val="2"/>
        <scheme val="minor"/>
      </rPr>
      <t>Esche</t>
    </r>
    <r>
      <rPr>
        <sz val="12"/>
        <rFont val="Calibri"/>
        <family val="2"/>
        <scheme val="minor"/>
      </rPr>
      <t>:</t>
    </r>
  </si>
  <si>
    <r>
      <rPr>
        <u/>
        <sz val="12"/>
        <rFont val="Calibri"/>
        <family val="2"/>
        <scheme val="minor"/>
      </rPr>
      <t>Esche</t>
    </r>
    <r>
      <rPr>
        <sz val="12"/>
        <rFont val="Calibri"/>
        <family val="2"/>
        <scheme val="minor"/>
      </rPr>
      <t xml:space="preserve">: </t>
    </r>
  </si>
  <si>
    <t>16 kg TM pro Baum nach 10 Jahren</t>
  </si>
  <si>
    <t>30 kg TM pro Baum nach 30 Jahren</t>
  </si>
  <si>
    <r>
      <rPr>
        <u/>
        <sz val="12"/>
        <rFont val="Calibri"/>
        <family val="2"/>
        <scheme val="minor"/>
      </rPr>
      <t>Linde</t>
    </r>
    <r>
      <rPr>
        <sz val="12"/>
        <rFont val="Calibri"/>
        <family val="2"/>
        <scheme val="minor"/>
      </rPr>
      <t>:</t>
    </r>
  </si>
  <si>
    <t>wird wie Esche gehandhabt (fehlende Daten)</t>
  </si>
  <si>
    <t>Die jährliche Erntemenge wird in diesen Jahren verdoppelt (Annahme)</t>
  </si>
  <si>
    <t>Neuaussaat</t>
  </si>
  <si>
    <t>März 2026</t>
  </si>
  <si>
    <t>30 min Rüstzeit</t>
  </si>
  <si>
    <t>Single-Row-Seeder</t>
  </si>
  <si>
    <t>Aussaat einer Kräutermischung mit einem Single-Row-Seeder</t>
  </si>
  <si>
    <t>Saatgut</t>
  </si>
  <si>
    <t>200g</t>
  </si>
  <si>
    <t>€ 133,2 für 5 kg</t>
  </si>
  <si>
    <r>
      <t xml:space="preserve">1. Die </t>
    </r>
    <r>
      <rPr>
        <b/>
        <sz val="12"/>
        <rFont val="Calibri"/>
        <family val="2"/>
        <scheme val="minor"/>
      </rPr>
      <t>primären Ziele</t>
    </r>
    <r>
      <rPr>
        <sz val="12"/>
        <rFont val="Calibri"/>
        <family val="2"/>
        <scheme val="minor"/>
      </rPr>
      <t xml:space="preserve"> dieses Agroforstsystems sind (1) Resilienz gegenüber  Extremwetter, (2) mehr Tierwohl durch Windschutz &amp;  Schatten, (3) Bereitstellung von Zusatzfutter mit Mineralstoffen und Spurenelementen.</t>
    </r>
  </si>
  <si>
    <r>
      <t xml:space="preserve">3. Zu den Erntemengen des gepflanzten </t>
    </r>
    <r>
      <rPr>
        <b/>
        <sz val="12"/>
        <rFont val="Calibri"/>
        <family val="2"/>
        <scheme val="minor"/>
      </rPr>
      <t>Futterlaubs</t>
    </r>
    <r>
      <rPr>
        <sz val="12"/>
        <rFont val="Calibri"/>
        <family val="2"/>
        <scheme val="minor"/>
      </rPr>
      <t xml:space="preserve"> liegen bisher nur wenige Angaben vor.</t>
    </r>
  </si>
  <si>
    <t>Erläuterungen:</t>
  </si>
  <si>
    <r>
      <t xml:space="preserve">Der </t>
    </r>
    <r>
      <rPr>
        <b/>
        <sz val="12"/>
        <rFont val="Calibri"/>
        <family val="2"/>
        <scheme val="minor"/>
      </rPr>
      <t>Abzinsfaktor</t>
    </r>
    <r>
      <rPr>
        <sz val="12"/>
        <rFont val="Calibri"/>
        <family val="2"/>
        <scheme val="minor"/>
      </rPr>
      <t xml:space="preserve"> rechnet eine zukünftige Zahlung auf ihren heutigen Wert, den </t>
    </r>
    <r>
      <rPr>
        <b/>
        <sz val="12"/>
        <rFont val="Calibri"/>
        <family val="2"/>
        <scheme val="minor"/>
      </rPr>
      <t>Barwert</t>
    </r>
    <r>
      <rPr>
        <sz val="12"/>
        <rFont val="Calibri"/>
        <family val="2"/>
        <scheme val="minor"/>
      </rPr>
      <t>, zurück. Er berücksichtigt, dass ein Euro heute mehr wert ist als ein Euro in der Zukunft, da er bis dahin verzinst angelegt werden könnte.</t>
    </r>
  </si>
  <si>
    <r>
      <t xml:space="preserve">Ein positiver </t>
    </r>
    <r>
      <rPr>
        <b/>
        <sz val="12"/>
        <rFont val="Calibri"/>
        <family val="2"/>
        <scheme val="minor"/>
      </rPr>
      <t>Kapitalwert</t>
    </r>
    <r>
      <rPr>
        <sz val="12"/>
        <rFont val="Calibri"/>
        <family val="2"/>
        <scheme val="minor"/>
      </rPr>
      <t xml:space="preserve"> bedeutet, dass die geforderte Rendite von 4 % überstiegen wird. Ein Kapitalwert von null bedeutet, dass dieser Schwellenwert exakt erreicht wird.</t>
    </r>
  </si>
  <si>
    <r>
      <t xml:space="preserve">Die </t>
    </r>
    <r>
      <rPr>
        <b/>
        <sz val="12"/>
        <rFont val="Calibri"/>
        <family val="2"/>
        <scheme val="minor"/>
      </rPr>
      <t>Annuität</t>
    </r>
    <r>
      <rPr>
        <sz val="12"/>
        <rFont val="Calibri"/>
        <family val="2"/>
        <scheme val="minor"/>
      </rPr>
      <t xml:space="preserve"> wandelt den auf 25 Jahre berechneten Kapitalwert in einen gleichbleibenden Jahresbetrag für denselben Zeitraum um. Sie ist besonders hilfreich, wenn sich Gehölze und Zahlungszeitpunkte stark unterscheiden.</t>
    </r>
  </si>
  <si>
    <r>
      <t xml:space="preserve">2. In der </t>
    </r>
    <r>
      <rPr>
        <b/>
        <sz val="12"/>
        <rFont val="Calibri"/>
        <family val="2"/>
        <scheme val="minor"/>
      </rPr>
      <t>Kapitalwertrechnung</t>
    </r>
    <r>
      <rPr>
        <sz val="12"/>
        <rFont val="Calibri"/>
        <family val="2"/>
        <scheme val="minor"/>
      </rPr>
      <t xml:space="preserve"> bleiben betriebswirtschaftlich relevante Ökosystemleistungen wie Windschutz, Schatten und mehr Tierwohl in der Regel unberücksichtigt. In diesem Beispiel wird jedoch die</t>
    </r>
    <r>
      <rPr>
        <b/>
        <sz val="12"/>
        <rFont val="Calibri"/>
        <family val="2"/>
        <scheme val="minor"/>
      </rPr>
      <t xml:space="preserve"> Verlängerung der Weidezeit </t>
    </r>
    <r>
      <rPr>
        <sz val="12"/>
        <rFont val="Calibri"/>
        <family val="2"/>
        <scheme val="minor"/>
      </rPr>
      <t>durch Windschutz konservativ monetarisiert. Hier wirken die drei neuen Agroforstsysteme – Obstsystem, Futterlaub und Windschutz – gemeinsam. Die durch eine verlängerte Weidezeit entstehende Arbeitszeitersparnis wird nur in diesem Rechenbeispiel berücksichtigt.</t>
    </r>
  </si>
  <si>
    <r>
      <t xml:space="preserve">Bei dieser Berechnung wird </t>
    </r>
    <r>
      <rPr>
        <b/>
        <sz val="12"/>
        <rFont val="Calibri"/>
        <family val="2"/>
        <scheme val="minor"/>
      </rPr>
      <t>ausschließlich der  Baumstreifen</t>
    </r>
    <r>
      <rPr>
        <sz val="12"/>
        <rFont val="Calibri"/>
        <family val="2"/>
        <scheme val="minor"/>
      </rPr>
      <t xml:space="preserve"> betrachtet - nicht das gesamte Agroforstsystem. Er wird mithilfe der Kapitalwertmethode als Investition bewertet. Diese Methode prüft, ob sich eine </t>
    </r>
    <r>
      <rPr>
        <b/>
        <sz val="12"/>
        <rFont val="Calibri"/>
        <family val="2"/>
        <scheme val="minor"/>
      </rPr>
      <t>langfristige Investition</t>
    </r>
    <r>
      <rPr>
        <sz val="12"/>
        <rFont val="Calibri"/>
        <family val="2"/>
        <scheme val="minor"/>
      </rPr>
      <t xml:space="preserve"> wirtschaftlich lohnt. Dazu werden alle künftig erwarteten Ein- und Auszahlungen, z.B. Pflegekosten, auf ihren heutigen Wert umgerechnet. Grundidee:  Ein Euro heute ist mehr wert als ein Euro in der Zukunft, da verfügbares Geld alternativ angelegt und verzinst werden kann. Künftige Ein- und Auszahlungen werden deshalb mit einem Zinssatz auf den heutigen Zeitpunkt abgezinst. Sollen mehrere langfristige Investitionsmöglichkeiten – etwa verschiedene Gehölzarten im Baumstreifen oder eine alternative Geldanlage wie ein Festgeldkonto – verglichen werden, wird in der Regel die Option mit dem höchsten positiven Kapitalwert bevorzugt. </t>
    </r>
    <r>
      <rPr>
        <b/>
        <sz val="12"/>
        <rFont val="Calibri"/>
        <family val="2"/>
        <scheme val="minor"/>
      </rPr>
      <t>Ökosystemleistungen</t>
    </r>
    <r>
      <rPr>
        <sz val="12"/>
        <rFont val="Calibri"/>
        <family val="2"/>
        <scheme val="minor"/>
      </rPr>
      <t xml:space="preserve"> werden in dieser Berechnung in der Regel nicht monetär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</si>
</sst>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Red]\-#,##0.00\ &quot;€&quot;"/>
    <numFmt numFmtId="164" formatCode="d/m;@"/>
    <numFmt numFmtId="165" formatCode="#,##0.00\ [$€-407];\-#,##0.00\ [$€-407]"/>
    <numFmt numFmtId="166" formatCode="#,##0.00\ &quot;€&quot;"/>
    <numFmt numFmtId="167" formatCode="0.0"/>
  </numFmts>
  <fonts count="44"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Arial"/>
      <family val="2"/>
    </font>
    <font>
      <b/>
      <sz val="12"/>
      <color theme="1"/>
      <name val="Arial"/>
      <family val="2"/>
    </font>
    <font>
      <sz val="12"/>
      <name val="Arial"/>
      <family val="2"/>
    </font>
    <font>
      <u/>
      <sz val="12"/>
      <color theme="10"/>
      <name val="Calibri"/>
      <family val="2"/>
      <scheme val="minor"/>
    </font>
    <font>
      <u/>
      <sz val="12"/>
      <color theme="11"/>
      <name val="Calibri"/>
      <family val="2"/>
      <scheme val="minor"/>
    </font>
    <font>
      <b/>
      <sz val="12"/>
      <color theme="0"/>
      <name val="Arial"/>
      <family val="2"/>
    </font>
    <font>
      <b/>
      <sz val="12"/>
      <name val="Arial"/>
      <family val="2"/>
    </font>
    <font>
      <sz val="11"/>
      <name val="Verdana"/>
      <family val="2"/>
    </font>
    <font>
      <b/>
      <sz val="12"/>
      <color theme="1"/>
      <name val="Arial"/>
      <family val="2"/>
    </font>
    <font>
      <b/>
      <sz val="12"/>
      <color theme="0"/>
      <name val="Arial"/>
      <family val="2"/>
    </font>
    <font>
      <sz val="12"/>
      <color theme="1"/>
      <name val="Arial"/>
      <family val="2"/>
    </font>
    <font>
      <sz val="12"/>
      <color theme="0"/>
      <name val="Arial"/>
      <family val="2"/>
    </font>
    <font>
      <sz val="12"/>
      <name val="Arial"/>
      <family val="2"/>
    </font>
    <font>
      <sz val="9"/>
      <color indexed="81"/>
      <name val="Segoe UI"/>
      <family val="2"/>
    </font>
    <font>
      <b/>
      <sz val="9"/>
      <color indexed="81"/>
      <name val="Segoe UI"/>
      <family val="2"/>
    </font>
    <font>
      <sz val="11"/>
      <color rgb="FFFF0000"/>
      <name val="Calibri"/>
      <family val="2"/>
      <scheme val="minor"/>
    </font>
    <font>
      <b/>
      <sz val="11"/>
      <color theme="1"/>
      <name val="Calibri"/>
      <family val="2"/>
      <scheme val="minor"/>
    </font>
    <font>
      <b/>
      <sz val="14"/>
      <color theme="1"/>
      <name val="Calibri"/>
      <family val="2"/>
      <scheme val="minor"/>
    </font>
    <font>
      <b/>
      <sz val="14"/>
      <color rgb="FFFF0000"/>
      <name val="Calibri"/>
      <family val="2"/>
      <scheme val="minor"/>
    </font>
    <font>
      <sz val="11"/>
      <color rgb="FF0070C0"/>
      <name val="Calibri"/>
      <family val="2"/>
      <scheme val="minor"/>
    </font>
    <font>
      <b/>
      <sz val="11"/>
      <color rgb="FFFF0000"/>
      <name val="Calibri"/>
      <family val="2"/>
      <scheme val="minor"/>
    </font>
    <font>
      <sz val="11"/>
      <name val="Calibri"/>
      <family val="2"/>
      <scheme val="minor"/>
    </font>
    <font>
      <sz val="14"/>
      <color theme="1"/>
      <name val="Calibri"/>
      <family val="2"/>
      <scheme val="minor"/>
    </font>
    <font>
      <b/>
      <sz val="14"/>
      <color rgb="FF3333CC"/>
      <name val="Calibri"/>
      <family val="2"/>
      <scheme val="minor"/>
    </font>
    <font>
      <sz val="14"/>
      <color rgb="FF3333CC"/>
      <name val="Calibri"/>
      <family val="2"/>
      <scheme val="minor"/>
    </font>
    <font>
      <b/>
      <sz val="11"/>
      <name val="Calibri"/>
      <family val="2"/>
      <scheme val="minor"/>
    </font>
    <font>
      <u/>
      <sz val="11"/>
      <name val="Calibri"/>
      <family val="2"/>
      <scheme val="minor"/>
    </font>
    <font>
      <sz val="10"/>
      <color rgb="FF0070C0"/>
      <name val="Calibri"/>
      <family val="2"/>
      <scheme val="minor"/>
    </font>
    <font>
      <sz val="14"/>
      <color rgb="FF0070C0"/>
      <name val="Calibri"/>
      <family val="2"/>
      <scheme val="minor"/>
    </font>
    <font>
      <b/>
      <sz val="12"/>
      <color rgb="FF3333CC"/>
      <name val="Calibri"/>
      <family val="2"/>
      <scheme val="minor"/>
    </font>
    <font>
      <sz val="12"/>
      <color rgb="FF3333CC"/>
      <name val="Calibri"/>
      <family val="2"/>
      <scheme val="minor"/>
    </font>
    <font>
      <b/>
      <sz val="12"/>
      <name val="Calibri"/>
      <family val="2"/>
      <scheme val="minor"/>
    </font>
    <font>
      <sz val="12"/>
      <name val="Calibri"/>
      <family val="2"/>
      <scheme val="minor"/>
    </font>
    <font>
      <sz val="12"/>
      <color rgb="FFFF0000"/>
      <name val="Calibri"/>
      <family val="2"/>
      <scheme val="minor"/>
    </font>
    <font>
      <sz val="14"/>
      <color rgb="FFFF0000"/>
      <name val="Calibri"/>
      <family val="2"/>
      <scheme val="minor"/>
    </font>
    <font>
      <i/>
      <sz val="11"/>
      <name val="Calibri"/>
      <family val="2"/>
      <scheme val="minor"/>
    </font>
    <font>
      <b/>
      <sz val="14"/>
      <name val="Calibri"/>
      <family val="2"/>
      <scheme val="minor"/>
    </font>
    <font>
      <sz val="14"/>
      <name val="Calibri"/>
      <family val="2"/>
      <scheme val="minor"/>
    </font>
    <font>
      <u/>
      <sz val="12"/>
      <name val="Calibri"/>
      <family val="2"/>
      <scheme val="minor"/>
    </font>
    <font>
      <b/>
      <sz val="16"/>
      <name val="Calibri"/>
      <family val="2"/>
      <scheme val="minor"/>
    </font>
    <font>
      <i/>
      <sz val="14"/>
      <name val="Calibri"/>
      <family val="2"/>
      <scheme val="minor"/>
    </font>
  </fonts>
  <fills count="19">
    <fill>
      <patternFill patternType="none"/>
    </fill>
    <fill>
      <patternFill patternType="gray125"/>
    </fill>
    <fill>
      <patternFill patternType="solid">
        <fgColor theme="8" tint="0.79998168889431442"/>
        <bgColor indexed="64"/>
      </patternFill>
    </fill>
    <fill>
      <patternFill patternType="solid">
        <fgColor rgb="FFA6A6A6"/>
        <bgColor indexed="64"/>
      </patternFill>
    </fill>
    <fill>
      <patternFill patternType="solid">
        <fgColor rgb="FFA61C59"/>
        <bgColor indexed="64"/>
      </patternFill>
    </fill>
    <fill>
      <patternFill patternType="solid">
        <fgColor rgb="FFECECEC"/>
        <bgColor indexed="64"/>
      </patternFill>
    </fill>
    <fill>
      <patternFill patternType="solid">
        <fgColor theme="0" tint="-0.14999847407452621"/>
        <bgColor indexed="64"/>
      </patternFill>
    </fill>
    <fill>
      <patternFill patternType="solid">
        <fgColor rgb="FFEAEAEA"/>
        <bgColor indexed="64"/>
      </patternFill>
    </fill>
    <fill>
      <patternFill patternType="solid">
        <fgColor rgb="FFFFFF8B"/>
        <bgColor indexed="64"/>
      </patternFill>
    </fill>
    <fill>
      <patternFill patternType="solid">
        <fgColor rgb="FFCCECFF"/>
        <bgColor indexed="64"/>
      </patternFill>
    </fill>
    <fill>
      <patternFill patternType="solid">
        <fgColor rgb="FFFFFFFF"/>
        <bgColor indexed="64"/>
      </patternFill>
    </fill>
    <fill>
      <patternFill patternType="solid">
        <fgColor rgb="FFFFFF99"/>
        <bgColor indexed="64"/>
      </patternFill>
    </fill>
    <fill>
      <patternFill patternType="solid">
        <fgColor rgb="FFFFE7E7"/>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FFC979"/>
        <bgColor indexed="64"/>
      </patternFill>
    </fill>
    <fill>
      <patternFill patternType="solid">
        <fgColor theme="5" tint="0.59999389629810485"/>
        <bgColor indexed="64"/>
      </patternFill>
    </fill>
  </fills>
  <borders count="58">
    <border>
      <left/>
      <right/>
      <top/>
      <bottom/>
      <diagonal/>
    </border>
    <border>
      <left/>
      <right/>
      <top/>
      <bottom style="thin">
        <color auto="1"/>
      </bottom>
      <diagonal/>
    </border>
    <border>
      <left/>
      <right style="thin">
        <color auto="1"/>
      </right>
      <top/>
      <bottom style="thin">
        <color auto="1"/>
      </bottom>
      <diagonal/>
    </border>
    <border>
      <left/>
      <right/>
      <top style="medium">
        <color auto="1"/>
      </top>
      <bottom/>
      <diagonal/>
    </border>
    <border>
      <left style="thin">
        <color auto="1"/>
      </left>
      <right style="thin">
        <color indexed="64"/>
      </right>
      <top/>
      <bottom style="thin">
        <color auto="1"/>
      </bottom>
      <diagonal/>
    </border>
    <border>
      <left style="thin">
        <color auto="1"/>
      </left>
      <right style="thin">
        <color indexed="64"/>
      </right>
      <top style="thin">
        <color auto="1"/>
      </top>
      <bottom/>
      <diagonal/>
    </border>
    <border>
      <left/>
      <right style="medium">
        <color indexed="64"/>
      </right>
      <top style="medium">
        <color indexed="64"/>
      </top>
      <bottom/>
      <diagonal/>
    </border>
    <border>
      <left style="medium">
        <color indexed="64"/>
      </left>
      <right/>
      <top/>
      <bottom style="thin">
        <color auto="1"/>
      </bottom>
      <diagonal/>
    </border>
    <border>
      <left style="thin">
        <color auto="1"/>
      </left>
      <right style="medium">
        <color indexed="64"/>
      </right>
      <top style="thin">
        <color auto="1"/>
      </top>
      <bottom/>
      <diagonal/>
    </border>
    <border>
      <left style="medium">
        <color indexed="64"/>
      </left>
      <right/>
      <top style="medium">
        <color indexed="64"/>
      </top>
      <bottom/>
      <diagonal/>
    </border>
    <border>
      <left style="thin">
        <color auto="1"/>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diagonal/>
    </border>
    <border>
      <left style="thin">
        <color indexed="64"/>
      </left>
      <right/>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90">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2" fillId="0" borderId="0"/>
  </cellStyleXfs>
  <cellXfs count="437">
    <xf numFmtId="0" fontId="0" fillId="0" borderId="0" xfId="0"/>
    <xf numFmtId="0" fontId="4" fillId="0" borderId="0" xfId="0" applyFont="1"/>
    <xf numFmtId="0" fontId="3" fillId="0" borderId="0" xfId="0" applyFont="1"/>
    <xf numFmtId="0" fontId="9" fillId="0" borderId="0" xfId="0" applyFont="1"/>
    <xf numFmtId="0" fontId="5" fillId="0" borderId="0" xfId="0" applyFont="1"/>
    <xf numFmtId="164" fontId="3" fillId="0" borderId="0" xfId="0" applyNumberFormat="1" applyFont="1"/>
    <xf numFmtId="164" fontId="3" fillId="2" borderId="0" xfId="0" applyNumberFormat="1" applyFont="1" applyFill="1"/>
    <xf numFmtId="164" fontId="5" fillId="0" borderId="0" xfId="0" applyNumberFormat="1" applyFont="1"/>
    <xf numFmtId="0" fontId="8" fillId="0" borderId="0" xfId="0" applyFont="1" applyAlignment="1">
      <alignment horizontal="center"/>
    </xf>
    <xf numFmtId="164" fontId="9" fillId="0" borderId="0" xfId="0" applyNumberFormat="1" applyFont="1"/>
    <xf numFmtId="0" fontId="10" fillId="0" borderId="0" xfId="0" applyFont="1"/>
    <xf numFmtId="164" fontId="5" fillId="0" borderId="0" xfId="0" applyNumberFormat="1" applyFont="1" applyAlignment="1">
      <alignment horizontal="right"/>
    </xf>
    <xf numFmtId="164" fontId="9" fillId="0" borderId="0" xfId="0" applyNumberFormat="1" applyFont="1" applyAlignment="1">
      <alignment horizontal="right"/>
    </xf>
    <xf numFmtId="164" fontId="11" fillId="0" borderId="0" xfId="0" applyNumberFormat="1" applyFont="1"/>
    <xf numFmtId="164" fontId="13" fillId="0" borderId="0" xfId="0" applyNumberFormat="1" applyFont="1"/>
    <xf numFmtId="0" fontId="13" fillId="0" borderId="0" xfId="0" applyFont="1"/>
    <xf numFmtId="0" fontId="15" fillId="0" borderId="0" xfId="0" applyFont="1"/>
    <xf numFmtId="166" fontId="13" fillId="0" borderId="0" xfId="0" applyNumberFormat="1" applyFont="1"/>
    <xf numFmtId="166" fontId="15" fillId="0" borderId="0" xfId="0" applyNumberFormat="1" applyFont="1"/>
    <xf numFmtId="165" fontId="13" fillId="0" borderId="0" xfId="0" applyNumberFormat="1" applyFont="1"/>
    <xf numFmtId="0" fontId="14" fillId="0" borderId="0" xfId="0" applyFont="1" applyAlignment="1">
      <alignment horizontal="center"/>
    </xf>
    <xf numFmtId="16" fontId="13" fillId="0" borderId="0" xfId="0" applyNumberFormat="1" applyFont="1"/>
    <xf numFmtId="0" fontId="8" fillId="3" borderId="0" xfId="0" applyFont="1" applyFill="1" applyAlignment="1">
      <alignment horizontal="center"/>
    </xf>
    <xf numFmtId="0" fontId="8" fillId="3" borderId="0" xfId="0" applyFont="1" applyFill="1"/>
    <xf numFmtId="0" fontId="12" fillId="3" borderId="0" xfId="0" applyFont="1" applyFill="1"/>
    <xf numFmtId="165" fontId="13" fillId="5" borderId="0" xfId="0" applyNumberFormat="1" applyFont="1" applyFill="1" applyAlignment="1">
      <alignment horizontal="right"/>
    </xf>
    <xf numFmtId="0" fontId="12" fillId="3" borderId="0" xfId="0" applyFont="1" applyFill="1" applyAlignment="1">
      <alignment horizontal="center"/>
    </xf>
    <xf numFmtId="166" fontId="11" fillId="3" borderId="1" xfId="0" applyNumberFormat="1" applyFont="1" applyFill="1" applyBorder="1"/>
    <xf numFmtId="164" fontId="12" fillId="4" borderId="1" xfId="0" applyNumberFormat="1" applyFont="1" applyFill="1" applyBorder="1"/>
    <xf numFmtId="0" fontId="0" fillId="0" borderId="0" xfId="0" applyAlignment="1">
      <alignment horizontal="center" vertical="center"/>
    </xf>
    <xf numFmtId="4" fontId="0" fillId="0" borderId="0" xfId="0" applyNumberFormat="1"/>
    <xf numFmtId="166" fontId="0" fillId="0" borderId="0" xfId="0" applyNumberFormat="1"/>
    <xf numFmtId="8" fontId="0" fillId="0" borderId="0" xfId="0" applyNumberFormat="1"/>
    <xf numFmtId="49" fontId="0" fillId="0" borderId="0" xfId="0" applyNumberFormat="1" applyAlignment="1">
      <alignment wrapText="1"/>
    </xf>
    <xf numFmtId="0" fontId="20" fillId="0" borderId="0" xfId="89" applyFont="1"/>
    <xf numFmtId="49" fontId="20" fillId="0" borderId="0" xfId="89" applyNumberFormat="1" applyFont="1"/>
    <xf numFmtId="0" fontId="2" fillId="0" borderId="0" xfId="89"/>
    <xf numFmtId="49" fontId="2" fillId="0" borderId="0" xfId="89" applyNumberFormat="1"/>
    <xf numFmtId="0" fontId="2" fillId="0" borderId="0" xfId="89" applyAlignment="1">
      <alignment horizontal="left" vertical="center"/>
    </xf>
    <xf numFmtId="0" fontId="2" fillId="0" borderId="0" xfId="89" applyAlignment="1">
      <alignment horizontal="left" vertical="center" wrapText="1"/>
    </xf>
    <xf numFmtId="0" fontId="19" fillId="0" borderId="13" xfId="89" applyFont="1" applyBorder="1" applyAlignment="1">
      <alignment horizontal="center" vertical="center" wrapText="1"/>
    </xf>
    <xf numFmtId="0" fontId="19" fillId="0" borderId="16" xfId="89" applyFont="1" applyBorder="1" applyAlignment="1">
      <alignment horizontal="center" vertical="center" wrapText="1"/>
    </xf>
    <xf numFmtId="0" fontId="19" fillId="0" borderId="17" xfId="89" applyFont="1" applyBorder="1" applyAlignment="1">
      <alignment horizontal="center" vertical="center" wrapText="1"/>
    </xf>
    <xf numFmtId="0" fontId="19" fillId="0" borderId="18" xfId="89" applyFont="1" applyBorder="1" applyAlignment="1">
      <alignment horizontal="center" vertical="center" wrapText="1"/>
    </xf>
    <xf numFmtId="0" fontId="19" fillId="0" borderId="3" xfId="89" applyFont="1" applyBorder="1" applyAlignment="1">
      <alignment horizontal="center" vertical="center" wrapText="1"/>
    </xf>
    <xf numFmtId="0" fontId="19" fillId="0" borderId="14" xfId="89" applyFont="1" applyBorder="1" applyAlignment="1">
      <alignment horizontal="center" vertical="center" wrapText="1"/>
    </xf>
    <xf numFmtId="0" fontId="2" fillId="0" borderId="0" xfId="89" applyAlignment="1">
      <alignment horizontal="left" vertical="top" wrapText="1"/>
    </xf>
    <xf numFmtId="0" fontId="2" fillId="0" borderId="0" xfId="89" applyFont="1"/>
    <xf numFmtId="49" fontId="2" fillId="0" borderId="0" xfId="89" applyNumberFormat="1" applyFont="1"/>
    <xf numFmtId="0" fontId="2" fillId="0" borderId="0" xfId="89" applyFont="1" applyAlignment="1">
      <alignment horizontal="left" vertical="center"/>
    </xf>
    <xf numFmtId="0" fontId="19" fillId="0" borderId="0" xfId="89" applyFont="1"/>
    <xf numFmtId="49" fontId="19" fillId="0" borderId="0" xfId="89" applyNumberFormat="1" applyFont="1"/>
    <xf numFmtId="0" fontId="19" fillId="0" borderId="0" xfId="89" applyFont="1" applyFill="1"/>
    <xf numFmtId="0" fontId="19" fillId="0" borderId="0" xfId="89" applyFont="1" applyAlignment="1">
      <alignment horizontal="left" vertical="center"/>
    </xf>
    <xf numFmtId="0" fontId="27" fillId="0" borderId="0" xfId="89" applyFont="1" applyAlignment="1">
      <alignment horizontal="center" vertical="center"/>
    </xf>
    <xf numFmtId="0" fontId="26" fillId="0" borderId="0" xfId="89" applyFont="1" applyAlignment="1">
      <alignment horizontal="center" vertical="center"/>
    </xf>
    <xf numFmtId="0" fontId="27" fillId="0" borderId="4" xfId="89" applyFont="1" applyBorder="1" applyAlignment="1">
      <alignment horizontal="center" vertical="center" wrapText="1"/>
    </xf>
    <xf numFmtId="0" fontId="27" fillId="0" borderId="20" xfId="89" applyFont="1" applyBorder="1" applyAlignment="1">
      <alignment horizontal="center" vertical="center" wrapText="1"/>
    </xf>
    <xf numFmtId="166" fontId="27" fillId="0" borderId="20" xfId="89" applyNumberFormat="1" applyFont="1" applyBorder="1" applyAlignment="1">
      <alignment horizontal="center" vertical="center" wrapText="1"/>
    </xf>
    <xf numFmtId="166" fontId="26" fillId="0" borderId="20" xfId="89" applyNumberFormat="1" applyFont="1" applyBorder="1" applyAlignment="1">
      <alignment horizontal="center" vertical="center" wrapText="1"/>
    </xf>
    <xf numFmtId="0" fontId="26" fillId="0" borderId="0" xfId="89" applyFont="1" applyAlignment="1">
      <alignment horizontal="left" vertical="center"/>
    </xf>
    <xf numFmtId="49" fontId="2" fillId="0" borderId="5" xfId="89" applyNumberFormat="1" applyFill="1" applyBorder="1" applyAlignment="1">
      <alignment horizontal="left" vertical="center" wrapText="1"/>
    </xf>
    <xf numFmtId="14" fontId="2" fillId="0" borderId="27" xfId="89" applyNumberFormat="1" applyFill="1" applyBorder="1" applyAlignment="1">
      <alignment horizontal="center" vertical="center" wrapText="1"/>
    </xf>
    <xf numFmtId="0" fontId="2" fillId="0" borderId="22" xfId="89" applyFont="1" applyFill="1" applyBorder="1" applyAlignment="1">
      <alignment horizontal="center" vertical="center" wrapText="1"/>
    </xf>
    <xf numFmtId="0" fontId="2" fillId="0" borderId="20" xfId="89" applyFill="1" applyBorder="1" applyAlignment="1">
      <alignment horizontal="center" vertical="center" wrapText="1"/>
    </xf>
    <xf numFmtId="0" fontId="18" fillId="0" borderId="23" xfId="89" applyFont="1" applyFill="1" applyBorder="1" applyAlignment="1">
      <alignment horizontal="left" vertical="center" wrapText="1"/>
    </xf>
    <xf numFmtId="0" fontId="2" fillId="0" borderId="29" xfId="89" applyFill="1" applyBorder="1" applyAlignment="1">
      <alignment horizontal="left" vertical="center" wrapText="1"/>
    </xf>
    <xf numFmtId="0" fontId="2" fillId="0" borderId="28" xfId="89" applyFill="1" applyBorder="1" applyAlignment="1">
      <alignment horizontal="left" vertical="center" wrapText="1"/>
    </xf>
    <xf numFmtId="0" fontId="2" fillId="0" borderId="5" xfId="89" applyFill="1" applyBorder="1" applyAlignment="1">
      <alignment horizontal="center" vertical="center" wrapText="1"/>
    </xf>
    <xf numFmtId="166" fontId="2" fillId="0" borderId="5" xfId="89" applyNumberFormat="1" applyFill="1" applyBorder="1" applyAlignment="1">
      <alignment horizontal="right" vertical="center" wrapText="1"/>
    </xf>
    <xf numFmtId="0" fontId="18" fillId="0" borderId="30" xfId="89" applyFont="1" applyFill="1" applyBorder="1" applyAlignment="1">
      <alignment vertical="center" wrapText="1"/>
    </xf>
    <xf numFmtId="0" fontId="2" fillId="0" borderId="30" xfId="89" applyFill="1" applyBorder="1" applyAlignment="1">
      <alignment horizontal="left" vertical="center" wrapText="1"/>
    </xf>
    <xf numFmtId="49" fontId="24" fillId="11" borderId="5" xfId="89" applyNumberFormat="1" applyFont="1" applyFill="1" applyBorder="1" applyAlignment="1">
      <alignment horizontal="left" vertical="center" wrapText="1"/>
    </xf>
    <xf numFmtId="49" fontId="24" fillId="11" borderId="20" xfId="89" applyNumberFormat="1" applyFont="1" applyFill="1" applyBorder="1" applyAlignment="1">
      <alignment horizontal="left" vertical="center" wrapText="1"/>
    </xf>
    <xf numFmtId="0" fontId="28" fillId="0" borderId="6" xfId="89" applyFont="1" applyBorder="1" applyAlignment="1">
      <alignment horizontal="left" vertical="center" wrapText="1"/>
    </xf>
    <xf numFmtId="0" fontId="24" fillId="11" borderId="30" xfId="89" applyFont="1" applyFill="1" applyBorder="1" applyAlignment="1">
      <alignment horizontal="left" vertical="center" wrapText="1"/>
    </xf>
    <xf numFmtId="49" fontId="24" fillId="0" borderId="4" xfId="89" applyNumberFormat="1" applyFont="1" applyFill="1" applyBorder="1" applyAlignment="1">
      <alignment horizontal="left" vertical="center" wrapText="1"/>
    </xf>
    <xf numFmtId="0" fontId="24" fillId="0" borderId="33" xfId="89" applyFont="1" applyFill="1" applyBorder="1" applyAlignment="1">
      <alignment horizontal="center" vertical="center" wrapText="1"/>
    </xf>
    <xf numFmtId="0" fontId="24" fillId="0" borderId="2" xfId="89" applyFont="1" applyFill="1" applyBorder="1" applyAlignment="1">
      <alignment horizontal="center" vertical="center" wrapText="1"/>
    </xf>
    <xf numFmtId="0" fontId="24" fillId="0" borderId="32" xfId="89" applyFont="1" applyFill="1" applyBorder="1" applyAlignment="1">
      <alignment horizontal="left" vertical="center" wrapText="1"/>
    </xf>
    <xf numFmtId="0" fontId="24" fillId="0" borderId="35" xfId="89" applyFont="1" applyFill="1" applyBorder="1" applyAlignment="1">
      <alignment horizontal="left" vertical="center" wrapText="1"/>
    </xf>
    <xf numFmtId="0" fontId="2" fillId="0" borderId="0" xfId="89" applyFill="1" applyAlignment="1">
      <alignment horizontal="left" vertical="center" wrapText="1"/>
    </xf>
    <xf numFmtId="0" fontId="24" fillId="11" borderId="23" xfId="89" applyFont="1" applyFill="1" applyBorder="1" applyAlignment="1">
      <alignment horizontal="left" vertical="center" wrapText="1"/>
    </xf>
    <xf numFmtId="0" fontId="30" fillId="0" borderId="0" xfId="89" applyFont="1" applyAlignment="1">
      <alignment horizontal="center" vertical="center"/>
    </xf>
    <xf numFmtId="0" fontId="31" fillId="0" borderId="0" xfId="89" applyFont="1" applyAlignment="1">
      <alignment horizontal="center" vertical="center"/>
    </xf>
    <xf numFmtId="1" fontId="26" fillId="0" borderId="19" xfId="89" applyNumberFormat="1" applyFont="1" applyBorder="1" applyAlignment="1">
      <alignment horizontal="center" vertical="center" wrapText="1"/>
    </xf>
    <xf numFmtId="0" fontId="21" fillId="0" borderId="0" xfId="89" applyFont="1" applyAlignment="1">
      <alignment vertical="center" wrapText="1"/>
    </xf>
    <xf numFmtId="0" fontId="1" fillId="0" borderId="28" xfId="89" applyFont="1" applyFill="1" applyBorder="1" applyAlignment="1">
      <alignment horizontal="left" vertical="center" wrapText="1"/>
    </xf>
    <xf numFmtId="0" fontId="27" fillId="0" borderId="32" xfId="89" applyFont="1" applyBorder="1" applyAlignment="1">
      <alignment horizontal="center" vertical="center" wrapText="1"/>
    </xf>
    <xf numFmtId="0" fontId="27" fillId="0" borderId="21" xfId="89" applyFont="1" applyBorder="1" applyAlignment="1">
      <alignment horizontal="center" vertical="center" wrapText="1"/>
    </xf>
    <xf numFmtId="0" fontId="26" fillId="0" borderId="33" xfId="89" applyFont="1" applyBorder="1" applyAlignment="1">
      <alignment horizontal="center" vertical="center" wrapText="1"/>
    </xf>
    <xf numFmtId="0" fontId="26" fillId="0" borderId="22" xfId="89" applyFont="1" applyBorder="1" applyAlignment="1">
      <alignment horizontal="center" vertical="center" wrapText="1"/>
    </xf>
    <xf numFmtId="166" fontId="27" fillId="0" borderId="5" xfId="89" applyNumberFormat="1" applyFont="1" applyBorder="1" applyAlignment="1">
      <alignment horizontal="center" vertical="center" wrapText="1"/>
    </xf>
    <xf numFmtId="166" fontId="27" fillId="0" borderId="27" xfId="89" applyNumberFormat="1" applyFont="1" applyBorder="1" applyAlignment="1">
      <alignment horizontal="center" vertical="center" wrapText="1"/>
    </xf>
    <xf numFmtId="166" fontId="26" fillId="0" borderId="28" xfId="89" applyNumberFormat="1" applyFont="1" applyBorder="1" applyAlignment="1">
      <alignment horizontal="center" vertical="center" wrapText="1"/>
    </xf>
    <xf numFmtId="1" fontId="26" fillId="0" borderId="37" xfId="89" applyNumberFormat="1" applyFont="1" applyBorder="1" applyAlignment="1">
      <alignment horizontal="center" vertical="center" wrapText="1"/>
    </xf>
    <xf numFmtId="166" fontId="27" fillId="0" borderId="38" xfId="89" applyNumberFormat="1" applyFont="1" applyBorder="1" applyAlignment="1">
      <alignment horizontal="center" vertical="center" wrapText="1"/>
    </xf>
    <xf numFmtId="166" fontId="27" fillId="0" borderId="41" xfId="89" applyNumberFormat="1" applyFont="1" applyBorder="1" applyAlignment="1">
      <alignment horizontal="center" vertical="center" wrapText="1"/>
    </xf>
    <xf numFmtId="166" fontId="26" fillId="0" borderId="37" xfId="89" applyNumberFormat="1" applyFont="1" applyBorder="1" applyAlignment="1">
      <alignment horizontal="center" vertical="center" wrapText="1"/>
    </xf>
    <xf numFmtId="0" fontId="32" fillId="10" borderId="37" xfId="89" applyFont="1" applyFill="1" applyBorder="1" applyAlignment="1">
      <alignment horizontal="center" vertical="center" wrapText="1"/>
    </xf>
    <xf numFmtId="0" fontId="32" fillId="10" borderId="38" xfId="89" applyFont="1" applyFill="1" applyBorder="1" applyAlignment="1">
      <alignment horizontal="center" vertical="center" wrapText="1"/>
    </xf>
    <xf numFmtId="0" fontId="32" fillId="10" borderId="41" xfId="89" applyFont="1" applyFill="1" applyBorder="1" applyAlignment="1">
      <alignment horizontal="center" vertical="center" wrapText="1"/>
    </xf>
    <xf numFmtId="0" fontId="32" fillId="10" borderId="39" xfId="89" applyFont="1" applyFill="1" applyBorder="1" applyAlignment="1">
      <alignment horizontal="center" vertical="center" wrapText="1"/>
    </xf>
    <xf numFmtId="0" fontId="32" fillId="10" borderId="42" xfId="89" applyFont="1" applyFill="1" applyBorder="1" applyAlignment="1">
      <alignment horizontal="center" vertical="center" wrapText="1"/>
    </xf>
    <xf numFmtId="1" fontId="26" fillId="12" borderId="42" xfId="89" applyNumberFormat="1" applyFont="1" applyFill="1" applyBorder="1" applyAlignment="1">
      <alignment horizontal="center" vertical="center" wrapText="1"/>
    </xf>
    <xf numFmtId="0" fontId="34" fillId="0" borderId="0" xfId="89" applyFont="1" applyAlignment="1">
      <alignment horizontal="center" vertical="center"/>
    </xf>
    <xf numFmtId="166" fontId="26" fillId="0" borderId="5" xfId="89" applyNumberFormat="1" applyFont="1" applyBorder="1" applyAlignment="1">
      <alignment horizontal="center" vertical="center" wrapText="1"/>
    </xf>
    <xf numFmtId="166" fontId="27" fillId="0" borderId="38" xfId="89" applyNumberFormat="1" applyFont="1" applyFill="1" applyBorder="1" applyAlignment="1">
      <alignment horizontal="center" vertical="center" wrapText="1"/>
    </xf>
    <xf numFmtId="166" fontId="26" fillId="0" borderId="38" xfId="89" applyNumberFormat="1" applyFont="1" applyBorder="1" applyAlignment="1">
      <alignment horizontal="center" vertical="center" wrapText="1"/>
    </xf>
    <xf numFmtId="0" fontId="24" fillId="11" borderId="27" xfId="89" applyFont="1" applyFill="1" applyBorder="1" applyAlignment="1">
      <alignment horizontal="left" vertical="center" wrapText="1"/>
    </xf>
    <xf numFmtId="0" fontId="24" fillId="11" borderId="36" xfId="89" applyFont="1" applyFill="1" applyBorder="1" applyAlignment="1">
      <alignment horizontal="left" vertical="center" wrapText="1"/>
    </xf>
    <xf numFmtId="0" fontId="24" fillId="11" borderId="28" xfId="89" applyFont="1" applyFill="1" applyBorder="1" applyAlignment="1">
      <alignment horizontal="left" vertical="center" wrapText="1"/>
    </xf>
    <xf numFmtId="0" fontId="24" fillId="11" borderId="5" xfId="89" applyFont="1" applyFill="1" applyBorder="1" applyAlignment="1">
      <alignment horizontal="center" vertical="center" wrapText="1"/>
    </xf>
    <xf numFmtId="166" fontId="24" fillId="11" borderId="5" xfId="89" applyNumberFormat="1" applyFont="1" applyFill="1" applyBorder="1" applyAlignment="1">
      <alignment horizontal="right" vertical="center" wrapText="1"/>
    </xf>
    <xf numFmtId="0" fontId="24" fillId="11" borderId="31" xfId="89" applyFont="1" applyFill="1" applyBorder="1" applyAlignment="1">
      <alignment vertical="center" wrapText="1"/>
    </xf>
    <xf numFmtId="0" fontId="24" fillId="11" borderId="33" xfId="89" applyFont="1" applyFill="1" applyBorder="1" applyAlignment="1">
      <alignment horizontal="center" vertical="center" wrapText="1"/>
    </xf>
    <xf numFmtId="0" fontId="24" fillId="11" borderId="4" xfId="89" applyFont="1" applyFill="1" applyBorder="1" applyAlignment="1">
      <alignment horizontal="center" vertical="center" wrapText="1"/>
    </xf>
    <xf numFmtId="0" fontId="24" fillId="11" borderId="35" xfId="89" applyFont="1" applyFill="1" applyBorder="1" applyAlignment="1">
      <alignment vertical="center" wrapText="1"/>
    </xf>
    <xf numFmtId="0" fontId="24" fillId="11" borderId="22" xfId="89" applyFont="1" applyFill="1" applyBorder="1" applyAlignment="1">
      <alignment horizontal="center" vertical="center" wrapText="1"/>
    </xf>
    <xf numFmtId="0" fontId="24" fillId="11" borderId="20" xfId="89" applyFont="1" applyFill="1" applyBorder="1" applyAlignment="1">
      <alignment horizontal="center" vertical="center" wrapText="1"/>
    </xf>
    <xf numFmtId="0" fontId="24" fillId="11" borderId="29" xfId="89" applyFont="1" applyFill="1" applyBorder="1" applyAlignment="1">
      <alignment horizontal="left" vertical="center" wrapText="1"/>
    </xf>
    <xf numFmtId="0" fontId="24" fillId="11" borderId="30" xfId="89" applyFont="1" applyFill="1" applyBorder="1" applyAlignment="1">
      <alignment vertical="center" wrapText="1"/>
    </xf>
    <xf numFmtId="0" fontId="24" fillId="11" borderId="19" xfId="89" applyFont="1" applyFill="1" applyBorder="1" applyAlignment="1">
      <alignment horizontal="left" vertical="center" wrapText="1"/>
    </xf>
    <xf numFmtId="0" fontId="24" fillId="2" borderId="33" xfId="89" applyFont="1" applyFill="1" applyBorder="1" applyAlignment="1">
      <alignment horizontal="center" vertical="center" wrapText="1"/>
    </xf>
    <xf numFmtId="0" fontId="24" fillId="2" borderId="2" xfId="89" applyFont="1" applyFill="1" applyBorder="1" applyAlignment="1">
      <alignment horizontal="left" vertical="center" wrapText="1"/>
    </xf>
    <xf numFmtId="49" fontId="18" fillId="0" borderId="0" xfId="89" applyNumberFormat="1" applyFont="1" applyAlignment="1">
      <alignment horizontal="left" vertical="center"/>
    </xf>
    <xf numFmtId="0" fontId="0" fillId="0" borderId="0" xfId="0" applyFont="1"/>
    <xf numFmtId="166" fontId="28" fillId="0" borderId="31" xfId="89" applyNumberFormat="1" applyFont="1" applyFill="1" applyBorder="1" applyAlignment="1">
      <alignment horizontal="right" vertical="center" wrapText="1"/>
    </xf>
    <xf numFmtId="0" fontId="37" fillId="0" borderId="0" xfId="0" applyFont="1" applyAlignment="1">
      <alignment horizontal="left" vertical="center"/>
    </xf>
    <xf numFmtId="49" fontId="20" fillId="0" borderId="0" xfId="0" applyNumberFormat="1" applyFont="1" applyAlignment="1">
      <alignment horizontal="center" vertical="center" wrapText="1"/>
    </xf>
    <xf numFmtId="49" fontId="20" fillId="0" borderId="0" xfId="0" applyNumberFormat="1" applyFont="1" applyAlignment="1">
      <alignment wrapText="1"/>
    </xf>
    <xf numFmtId="49" fontId="25" fillId="0" borderId="0" xfId="0" applyNumberFormat="1" applyFont="1" applyAlignment="1">
      <alignment wrapText="1"/>
    </xf>
    <xf numFmtId="0" fontId="25" fillId="0" borderId="0" xfId="0" applyFont="1"/>
    <xf numFmtId="3" fontId="24" fillId="2" borderId="16" xfId="89" applyNumberFormat="1" applyFont="1" applyFill="1" applyBorder="1" applyAlignment="1">
      <alignment horizontal="center" vertical="center" wrapText="1"/>
    </xf>
    <xf numFmtId="0" fontId="24" fillId="2" borderId="18" xfId="89" applyFont="1" applyFill="1" applyBorder="1" applyAlignment="1">
      <alignment horizontal="left" vertical="center" wrapText="1"/>
    </xf>
    <xf numFmtId="0" fontId="0" fillId="7" borderId="26" xfId="0" applyFill="1" applyBorder="1" applyAlignment="1">
      <alignment vertical="center" wrapText="1"/>
    </xf>
    <xf numFmtId="166" fontId="26" fillId="0" borderId="23" xfId="89" applyNumberFormat="1" applyFont="1" applyFill="1" applyBorder="1" applyAlignment="1">
      <alignment horizontal="center" vertical="center" wrapText="1"/>
    </xf>
    <xf numFmtId="166" fontId="26" fillId="0" borderId="8" xfId="89" applyNumberFormat="1" applyFont="1" applyFill="1" applyBorder="1" applyAlignment="1">
      <alignment horizontal="center" vertical="center" wrapText="1"/>
    </xf>
    <xf numFmtId="166" fontId="26" fillId="0" borderId="39" xfId="89" applyNumberFormat="1" applyFont="1" applyFill="1" applyBorder="1" applyAlignment="1">
      <alignment horizontal="center" vertical="center" wrapText="1"/>
    </xf>
    <xf numFmtId="0" fontId="28" fillId="0" borderId="13" xfId="89" applyFont="1" applyBorder="1" applyAlignment="1">
      <alignment horizontal="center" vertical="center" wrapText="1"/>
    </xf>
    <xf numFmtId="49" fontId="28" fillId="0" borderId="14" xfId="89" applyNumberFormat="1" applyFont="1" applyBorder="1" applyAlignment="1">
      <alignment horizontal="center" vertical="center" wrapText="1"/>
    </xf>
    <xf numFmtId="0" fontId="28" fillId="0" borderId="15" xfId="89" applyFont="1" applyBorder="1" applyAlignment="1">
      <alignment horizontal="center" vertical="center" wrapText="1"/>
    </xf>
    <xf numFmtId="0" fontId="35" fillId="0" borderId="0" xfId="89" applyFont="1"/>
    <xf numFmtId="0" fontId="39" fillId="0" borderId="0" xfId="89" applyFont="1"/>
    <xf numFmtId="0" fontId="35" fillId="12" borderId="11" xfId="89" applyFont="1" applyFill="1" applyBorder="1" applyAlignment="1">
      <alignment horizontal="left" vertical="center"/>
    </xf>
    <xf numFmtId="0" fontId="39" fillId="12" borderId="12" xfId="89" applyFont="1" applyFill="1" applyBorder="1" applyAlignment="1">
      <alignment horizontal="center" vertical="center"/>
    </xf>
    <xf numFmtId="0" fontId="39" fillId="0" borderId="0" xfId="89" applyFont="1" applyAlignment="1">
      <alignment horizontal="center" vertical="center"/>
    </xf>
    <xf numFmtId="0" fontId="40" fillId="8" borderId="20" xfId="89" applyFont="1" applyFill="1" applyBorder="1" applyAlignment="1">
      <alignment vertical="center" wrapText="1"/>
    </xf>
    <xf numFmtId="0" fontId="35" fillId="0" borderId="43" xfId="89" applyFont="1" applyFill="1" applyBorder="1" applyAlignment="1">
      <alignment horizontal="left" vertical="center"/>
    </xf>
    <xf numFmtId="0" fontId="39" fillId="0" borderId="44" xfId="89" applyFont="1" applyFill="1" applyBorder="1" applyAlignment="1">
      <alignment horizontal="center" vertical="center"/>
    </xf>
    <xf numFmtId="0" fontId="28" fillId="0" borderId="0" xfId="89" applyFont="1"/>
    <xf numFmtId="0" fontId="40" fillId="9" borderId="20" xfId="89" applyFont="1" applyFill="1" applyBorder="1" applyAlignment="1">
      <alignment vertical="center" wrapText="1"/>
    </xf>
    <xf numFmtId="0" fontId="28" fillId="0" borderId="17" xfId="89" applyFont="1" applyBorder="1" applyAlignment="1">
      <alignment horizontal="center" vertical="center" wrapText="1"/>
    </xf>
    <xf numFmtId="0" fontId="24" fillId="0" borderId="0" xfId="89" applyFont="1"/>
    <xf numFmtId="0" fontId="28" fillId="0" borderId="14" xfId="89" applyFont="1" applyBorder="1" applyAlignment="1">
      <alignment horizontal="center" vertical="center" wrapText="1"/>
    </xf>
    <xf numFmtId="0" fontId="28" fillId="0" borderId="6" xfId="89" applyFont="1" applyFill="1" applyBorder="1" applyAlignment="1">
      <alignment horizontal="center" vertical="center" wrapText="1"/>
    </xf>
    <xf numFmtId="166" fontId="28" fillId="0" borderId="30" xfId="89" applyNumberFormat="1" applyFont="1" applyFill="1" applyBorder="1" applyAlignment="1">
      <alignment horizontal="right" vertical="center" wrapText="1"/>
    </xf>
    <xf numFmtId="0" fontId="28" fillId="0" borderId="0" xfId="89" applyFont="1" applyFill="1" applyAlignment="1">
      <alignment horizontal="right" vertical="center"/>
    </xf>
    <xf numFmtId="0" fontId="39" fillId="0" borderId="0" xfId="89" applyFont="1" applyFill="1" applyAlignment="1">
      <alignment horizontal="right" vertical="center"/>
    </xf>
    <xf numFmtId="49" fontId="28" fillId="0" borderId="0" xfId="89" applyNumberFormat="1" applyFont="1" applyFill="1" applyAlignment="1">
      <alignment horizontal="right" vertical="center"/>
    </xf>
    <xf numFmtId="166" fontId="28" fillId="0" borderId="25" xfId="89" applyNumberFormat="1" applyFont="1" applyFill="1" applyBorder="1" applyAlignment="1">
      <alignment horizontal="right" vertical="center" wrapText="1"/>
    </xf>
    <xf numFmtId="166" fontId="28" fillId="0" borderId="34" xfId="89" applyNumberFormat="1" applyFont="1" applyFill="1" applyBorder="1" applyAlignment="1">
      <alignment horizontal="right" vertical="center" wrapText="1"/>
    </xf>
    <xf numFmtId="166" fontId="28" fillId="0" borderId="26" xfId="89" applyNumberFormat="1" applyFont="1" applyFill="1" applyBorder="1" applyAlignment="1">
      <alignment horizontal="right" vertical="center" wrapText="1"/>
    </xf>
    <xf numFmtId="0" fontId="24" fillId="7" borderId="19" xfId="89" applyFont="1" applyFill="1" applyBorder="1" applyAlignment="1">
      <alignment horizontal="left" vertical="center" wrapText="1"/>
    </xf>
    <xf numFmtId="49" fontId="24" fillId="7" borderId="20" xfId="89" applyNumberFormat="1" applyFont="1" applyFill="1" applyBorder="1" applyAlignment="1">
      <alignment horizontal="left" vertical="center" wrapText="1"/>
    </xf>
    <xf numFmtId="14" fontId="24" fillId="7" borderId="21" xfId="89" applyNumberFormat="1" applyFont="1" applyFill="1" applyBorder="1" applyAlignment="1">
      <alignment horizontal="center" vertical="center" wrapText="1"/>
    </xf>
    <xf numFmtId="0" fontId="24" fillId="7" borderId="22" xfId="89" applyFont="1" applyFill="1" applyBorder="1" applyAlignment="1">
      <alignment horizontal="center" vertical="center" wrapText="1"/>
    </xf>
    <xf numFmtId="0" fontId="24" fillId="7" borderId="20" xfId="89" applyFont="1" applyFill="1" applyBorder="1" applyAlignment="1">
      <alignment horizontal="center" vertical="center" wrapText="1"/>
    </xf>
    <xf numFmtId="167" fontId="28" fillId="7" borderId="20" xfId="89" applyNumberFormat="1" applyFont="1" applyFill="1" applyBorder="1" applyAlignment="1">
      <alignment horizontal="center" vertical="center" wrapText="1"/>
    </xf>
    <xf numFmtId="0" fontId="24" fillId="7" borderId="23" xfId="89" applyFont="1" applyFill="1" applyBorder="1" applyAlignment="1">
      <alignment horizontal="left" vertical="center" wrapText="1"/>
    </xf>
    <xf numFmtId="0" fontId="24" fillId="7" borderId="24" xfId="89" applyFont="1" applyFill="1" applyBorder="1" applyAlignment="1">
      <alignment horizontal="left" vertical="center" wrapText="1"/>
    </xf>
    <xf numFmtId="0" fontId="35" fillId="7" borderId="22" xfId="0" applyFont="1" applyFill="1" applyBorder="1" applyAlignment="1">
      <alignment horizontal="left" vertical="center" wrapText="1"/>
    </xf>
    <xf numFmtId="0" fontId="24" fillId="7" borderId="20" xfId="0" applyFont="1" applyFill="1" applyBorder="1" applyAlignment="1">
      <alignment horizontal="center" vertical="center" wrapText="1"/>
    </xf>
    <xf numFmtId="166" fontId="24" fillId="7" borderId="20" xfId="89" applyNumberFormat="1" applyFont="1" applyFill="1" applyBorder="1" applyAlignment="1">
      <alignment horizontal="right" vertical="center" wrapText="1"/>
    </xf>
    <xf numFmtId="0" fontId="35" fillId="7" borderId="20" xfId="0" applyFont="1" applyFill="1" applyBorder="1" applyAlignment="1">
      <alignment horizontal="center" vertical="center" wrapText="1"/>
    </xf>
    <xf numFmtId="166" fontId="24" fillId="7" borderId="20" xfId="0" applyNumberFormat="1" applyFont="1" applyFill="1" applyBorder="1" applyAlignment="1">
      <alignment horizontal="right" vertical="center" wrapText="1"/>
    </xf>
    <xf numFmtId="0" fontId="35" fillId="7" borderId="19" xfId="0" applyFont="1" applyFill="1" applyBorder="1" applyAlignment="1">
      <alignment horizontal="left" vertical="center" wrapText="1"/>
    </xf>
    <xf numFmtId="49" fontId="35" fillId="7" borderId="20" xfId="0" applyNumberFormat="1" applyFont="1" applyFill="1" applyBorder="1" applyAlignment="1">
      <alignment horizontal="left" vertical="center" wrapText="1"/>
    </xf>
    <xf numFmtId="14" fontId="35" fillId="7" borderId="21" xfId="0" applyNumberFormat="1" applyFont="1" applyFill="1" applyBorder="1" applyAlignment="1">
      <alignment horizontal="center" vertical="center" wrapText="1"/>
    </xf>
    <xf numFmtId="0" fontId="35" fillId="7" borderId="24" xfId="0" applyFont="1" applyFill="1" applyBorder="1" applyAlignment="1">
      <alignment horizontal="left" vertical="center" wrapText="1"/>
    </xf>
    <xf numFmtId="0" fontId="24" fillId="7" borderId="22" xfId="89" applyFont="1" applyFill="1" applyBorder="1" applyAlignment="1">
      <alignment horizontal="left" vertical="center" wrapText="1"/>
    </xf>
    <xf numFmtId="0" fontId="24" fillId="7" borderId="23" xfId="89" applyFont="1" applyFill="1" applyBorder="1" applyAlignment="1">
      <alignment horizontal="center" vertical="center" wrapText="1"/>
    </xf>
    <xf numFmtId="0" fontId="24" fillId="7" borderId="25" xfId="89" applyFont="1" applyFill="1" applyBorder="1" applyAlignment="1">
      <alignment horizontal="left" vertical="center" wrapText="1"/>
    </xf>
    <xf numFmtId="0" fontId="24" fillId="7" borderId="26" xfId="89" applyFont="1" applyFill="1" applyBorder="1" applyAlignment="1">
      <alignment vertical="center" wrapText="1"/>
    </xf>
    <xf numFmtId="0" fontId="35" fillId="7" borderId="26" xfId="89" applyFont="1" applyFill="1" applyBorder="1" applyAlignment="1">
      <alignment vertical="center" wrapText="1"/>
    </xf>
    <xf numFmtId="0" fontId="24" fillId="7" borderId="25" xfId="89" applyFont="1" applyFill="1" applyBorder="1" applyAlignment="1">
      <alignment vertical="center" wrapText="1"/>
    </xf>
    <xf numFmtId="166" fontId="24" fillId="7" borderId="20" xfId="89" applyNumberFormat="1" applyFont="1" applyFill="1" applyBorder="1" applyAlignment="1">
      <alignment horizontal="center" vertical="center" wrapText="1"/>
    </xf>
    <xf numFmtId="1" fontId="24" fillId="11" borderId="27" xfId="89" applyNumberFormat="1" applyFont="1" applyFill="1" applyBorder="1" applyAlignment="1">
      <alignment horizontal="center" vertical="center" wrapText="1"/>
    </xf>
    <xf numFmtId="167" fontId="28" fillId="11" borderId="20" xfId="89" applyNumberFormat="1" applyFont="1" applyFill="1" applyBorder="1" applyAlignment="1">
      <alignment horizontal="center" vertical="center" wrapText="1"/>
    </xf>
    <xf numFmtId="0" fontId="24" fillId="11" borderId="26" xfId="89" applyFont="1" applyFill="1" applyBorder="1" applyAlignment="1">
      <alignment horizontal="left" vertical="center" wrapText="1"/>
    </xf>
    <xf numFmtId="1" fontId="24" fillId="11" borderId="23" xfId="89" applyNumberFormat="1" applyFont="1" applyFill="1" applyBorder="1" applyAlignment="1">
      <alignment horizontal="center" vertical="center" wrapText="1"/>
    </xf>
    <xf numFmtId="0" fontId="24" fillId="11" borderId="22" xfId="89" applyFont="1" applyFill="1" applyBorder="1" applyAlignment="1">
      <alignment horizontal="left" vertical="center" wrapText="1"/>
    </xf>
    <xf numFmtId="166" fontId="24" fillId="11" borderId="20" xfId="89" applyNumberFormat="1" applyFont="1" applyFill="1" applyBorder="1" applyAlignment="1">
      <alignment horizontal="right" vertical="center" wrapText="1"/>
    </xf>
    <xf numFmtId="0" fontId="24" fillId="0" borderId="2" xfId="89" applyFont="1" applyFill="1" applyBorder="1" applyAlignment="1">
      <alignment horizontal="left" vertical="center" wrapText="1"/>
    </xf>
    <xf numFmtId="1" fontId="24" fillId="0" borderId="32" xfId="89" applyNumberFormat="1" applyFont="1" applyFill="1" applyBorder="1" applyAlignment="1">
      <alignment horizontal="center" vertical="center" wrapText="1"/>
    </xf>
    <xf numFmtId="0" fontId="24" fillId="0" borderId="36" xfId="89" applyFont="1" applyFill="1" applyBorder="1" applyAlignment="1">
      <alignment horizontal="left" vertical="center" wrapText="1"/>
    </xf>
    <xf numFmtId="0" fontId="24" fillId="0" borderId="7" xfId="89" applyFont="1" applyFill="1" applyBorder="1" applyAlignment="1">
      <alignment horizontal="left" vertical="center" wrapText="1"/>
    </xf>
    <xf numFmtId="0" fontId="24" fillId="0" borderId="4" xfId="89" applyFont="1" applyFill="1" applyBorder="1" applyAlignment="1">
      <alignment horizontal="center" vertical="center" wrapText="1"/>
    </xf>
    <xf numFmtId="166" fontId="24" fillId="0" borderId="4" xfId="89" applyNumberFormat="1" applyFont="1" applyFill="1" applyBorder="1" applyAlignment="1">
      <alignment horizontal="right" vertical="center" wrapText="1"/>
    </xf>
    <xf numFmtId="0" fontId="24" fillId="0" borderId="34" xfId="89" applyFont="1" applyFill="1" applyBorder="1" applyAlignment="1">
      <alignment horizontal="left" vertical="center" wrapText="1"/>
    </xf>
    <xf numFmtId="0" fontId="24" fillId="11" borderId="2" xfId="89" applyFont="1" applyFill="1" applyBorder="1" applyAlignment="1">
      <alignment horizontal="left" vertical="center" wrapText="1"/>
    </xf>
    <xf numFmtId="0" fontId="24" fillId="11" borderId="2" xfId="89" applyFont="1" applyFill="1" applyBorder="1" applyAlignment="1">
      <alignment horizontal="center" vertical="center" wrapText="1"/>
    </xf>
    <xf numFmtId="0" fontId="24" fillId="11" borderId="33" xfId="89" applyFont="1" applyFill="1" applyBorder="1" applyAlignment="1">
      <alignment horizontal="left" vertical="center" wrapText="1"/>
    </xf>
    <xf numFmtId="166" fontId="24" fillId="11" borderId="4" xfId="89" applyNumberFormat="1" applyFont="1" applyFill="1" applyBorder="1" applyAlignment="1">
      <alignment horizontal="right" vertical="center" wrapText="1"/>
    </xf>
    <xf numFmtId="1" fontId="24" fillId="11" borderId="21" xfId="89" applyNumberFormat="1" applyFont="1" applyFill="1" applyBorder="1" applyAlignment="1">
      <alignment horizontal="center" vertical="center" wrapText="1"/>
    </xf>
    <xf numFmtId="0" fontId="24" fillId="11" borderId="32" xfId="89" applyFont="1" applyFill="1" applyBorder="1" applyAlignment="1">
      <alignment horizontal="center" vertical="center" wrapText="1"/>
    </xf>
    <xf numFmtId="49" fontId="24" fillId="2" borderId="4" xfId="89" applyNumberFormat="1" applyFont="1" applyFill="1" applyBorder="1" applyAlignment="1">
      <alignment horizontal="left" vertical="center" wrapText="1"/>
    </xf>
    <xf numFmtId="1" fontId="24" fillId="2" borderId="32" xfId="89" applyNumberFormat="1" applyFont="1" applyFill="1" applyBorder="1" applyAlignment="1">
      <alignment horizontal="center" vertical="center" wrapText="1"/>
    </xf>
    <xf numFmtId="0" fontId="24" fillId="2" borderId="2" xfId="89" applyFont="1" applyFill="1" applyBorder="1" applyAlignment="1">
      <alignment horizontal="center" vertical="center" wrapText="1"/>
    </xf>
    <xf numFmtId="167" fontId="28" fillId="2" borderId="20" xfId="89" applyNumberFormat="1" applyFont="1" applyFill="1" applyBorder="1" applyAlignment="1">
      <alignment horizontal="center" vertical="center" wrapText="1"/>
    </xf>
    <xf numFmtId="0" fontId="24" fillId="2" borderId="32" xfId="89" applyFont="1" applyFill="1" applyBorder="1" applyAlignment="1">
      <alignment horizontal="left" vertical="center" wrapText="1"/>
    </xf>
    <xf numFmtId="0" fontId="24" fillId="2" borderId="26" xfId="89" applyFont="1" applyFill="1" applyBorder="1" applyAlignment="1">
      <alignment horizontal="left" vertical="center" wrapText="1"/>
    </xf>
    <xf numFmtId="0" fontId="24" fillId="2" borderId="4" xfId="89" applyFont="1" applyFill="1" applyBorder="1" applyAlignment="1">
      <alignment horizontal="center" vertical="center" wrapText="1"/>
    </xf>
    <xf numFmtId="166" fontId="24" fillId="2" borderId="4" xfId="89" applyNumberFormat="1" applyFont="1" applyFill="1" applyBorder="1" applyAlignment="1">
      <alignment horizontal="right" vertical="center" wrapText="1"/>
    </xf>
    <xf numFmtId="0" fontId="24" fillId="2" borderId="34" xfId="89" applyFont="1" applyFill="1" applyBorder="1" applyAlignment="1">
      <alignment horizontal="left" vertical="center" wrapText="1"/>
    </xf>
    <xf numFmtId="0" fontId="24" fillId="2" borderId="22" xfId="89" applyFont="1" applyFill="1" applyBorder="1" applyAlignment="1">
      <alignment horizontal="left" vertical="center" wrapText="1"/>
    </xf>
    <xf numFmtId="0" fontId="28" fillId="2" borderId="16" xfId="89" applyFont="1" applyFill="1" applyBorder="1" applyAlignment="1">
      <alignment horizontal="left" vertical="center" wrapText="1"/>
    </xf>
    <xf numFmtId="0" fontId="24" fillId="2" borderId="17" xfId="89" applyFont="1" applyFill="1" applyBorder="1" applyAlignment="1">
      <alignment horizontal="center" vertical="center" wrapText="1"/>
    </xf>
    <xf numFmtId="167" fontId="28" fillId="2" borderId="17" xfId="89" applyNumberFormat="1" applyFont="1" applyFill="1" applyBorder="1" applyAlignment="1">
      <alignment horizontal="center" vertical="center" wrapText="1"/>
    </xf>
    <xf numFmtId="0" fontId="24" fillId="2" borderId="25" xfId="89" applyFont="1" applyFill="1" applyBorder="1" applyAlignment="1">
      <alignment horizontal="left" vertical="center" wrapText="1"/>
    </xf>
    <xf numFmtId="0" fontId="24" fillId="2" borderId="20" xfId="89" applyFont="1" applyFill="1" applyBorder="1" applyAlignment="1">
      <alignment horizontal="center" vertical="center" wrapText="1"/>
    </xf>
    <xf numFmtId="49" fontId="24" fillId="0" borderId="0" xfId="89" applyNumberFormat="1" applyFont="1"/>
    <xf numFmtId="0" fontId="24" fillId="0" borderId="0" xfId="89" applyFont="1" applyAlignment="1">
      <alignment horizontal="left" vertical="center"/>
    </xf>
    <xf numFmtId="166" fontId="28" fillId="0" borderId="46" xfId="89" applyNumberFormat="1" applyFont="1" applyFill="1" applyBorder="1" applyAlignment="1">
      <alignment horizontal="right" vertical="center" wrapText="1"/>
    </xf>
    <xf numFmtId="49" fontId="35" fillId="11" borderId="5" xfId="0" applyNumberFormat="1" applyFont="1" applyFill="1" applyBorder="1" applyAlignment="1">
      <alignment horizontal="left" vertical="center" wrapText="1"/>
    </xf>
    <xf numFmtId="0" fontId="35" fillId="11" borderId="28" xfId="0" applyFont="1" applyFill="1" applyBorder="1" applyAlignment="1">
      <alignment horizontal="center" vertical="center" wrapText="1"/>
    </xf>
    <xf numFmtId="0" fontId="35" fillId="11" borderId="22" xfId="0" applyFont="1" applyFill="1" applyBorder="1" applyAlignment="1">
      <alignment horizontal="center" vertical="center" wrapText="1"/>
    </xf>
    <xf numFmtId="0" fontId="24" fillId="11" borderId="28" xfId="0" applyFont="1" applyFill="1" applyBorder="1" applyAlignment="1">
      <alignment horizontal="left" vertical="center" wrapText="1"/>
    </xf>
    <xf numFmtId="0" fontId="24" fillId="11" borderId="22" xfId="0" applyFont="1" applyFill="1" applyBorder="1" applyAlignment="1">
      <alignment horizontal="left" vertical="center" wrapText="1"/>
    </xf>
    <xf numFmtId="49" fontId="35" fillId="11" borderId="20" xfId="0" applyNumberFormat="1" applyFont="1" applyFill="1" applyBorder="1" applyAlignment="1">
      <alignment horizontal="left" vertical="center" wrapText="1"/>
    </xf>
    <xf numFmtId="0" fontId="24" fillId="11" borderId="35" xfId="89" applyFont="1" applyFill="1" applyBorder="1" applyAlignment="1">
      <alignment horizontal="left" vertical="center" wrapText="1"/>
    </xf>
    <xf numFmtId="166" fontId="28" fillId="0" borderId="35" xfId="89" applyNumberFormat="1" applyFont="1" applyFill="1" applyBorder="1" applyAlignment="1">
      <alignment horizontal="right" vertical="center" wrapText="1"/>
    </xf>
    <xf numFmtId="0" fontId="24" fillId="11" borderId="23" xfId="89" applyFont="1" applyFill="1" applyBorder="1" applyAlignment="1">
      <alignment vertical="center" wrapText="1"/>
    </xf>
    <xf numFmtId="0" fontId="24" fillId="11" borderId="2" xfId="0" applyFont="1" applyFill="1" applyBorder="1" applyAlignment="1">
      <alignment horizontal="left" vertical="center" wrapText="1"/>
    </xf>
    <xf numFmtId="49" fontId="24" fillId="2" borderId="48" xfId="89" applyNumberFormat="1" applyFont="1" applyFill="1" applyBorder="1" applyAlignment="1">
      <alignment horizontal="left" vertical="center" wrapText="1"/>
    </xf>
    <xf numFmtId="1" fontId="24" fillId="0" borderId="47" xfId="89" applyNumberFormat="1" applyFont="1" applyFill="1" applyBorder="1" applyAlignment="1">
      <alignment horizontal="center" vertical="center" wrapText="1"/>
    </xf>
    <xf numFmtId="14" fontId="24" fillId="2" borderId="18" xfId="89" applyNumberFormat="1" applyFont="1" applyFill="1" applyBorder="1" applyAlignment="1">
      <alignment horizontal="center" vertical="center" wrapText="1"/>
    </xf>
    <xf numFmtId="0" fontId="35" fillId="0" borderId="0" xfId="0" applyFont="1" applyFill="1" applyBorder="1" applyAlignment="1">
      <alignment horizontal="right" vertical="center"/>
    </xf>
    <xf numFmtId="0" fontId="35" fillId="15" borderId="22" xfId="0" applyFont="1" applyFill="1" applyBorder="1" applyAlignment="1">
      <alignment horizontal="left" vertical="center" wrapText="1"/>
    </xf>
    <xf numFmtId="0" fontId="35" fillId="15" borderId="20" xfId="0" applyFont="1" applyFill="1" applyBorder="1" applyAlignment="1">
      <alignment horizontal="center" vertical="center" wrapText="1"/>
    </xf>
    <xf numFmtId="0" fontId="35" fillId="0" borderId="0" xfId="0" applyFont="1" applyFill="1" applyBorder="1" applyAlignment="1">
      <alignment horizontal="right" wrapText="1"/>
    </xf>
    <xf numFmtId="0" fontId="20" fillId="0" borderId="0" xfId="89" applyFont="1" applyFill="1"/>
    <xf numFmtId="0" fontId="40" fillId="0" borderId="0" xfId="0" applyFont="1" applyAlignment="1">
      <alignment horizontal="left" vertical="center"/>
    </xf>
    <xf numFmtId="0" fontId="35" fillId="0" borderId="0" xfId="0" applyFont="1" applyAlignment="1">
      <alignment horizontal="left" vertical="center"/>
    </xf>
    <xf numFmtId="0" fontId="35" fillId="0" borderId="0" xfId="0" applyFont="1"/>
    <xf numFmtId="0" fontId="35" fillId="0" borderId="0" xfId="0" applyFont="1" applyAlignment="1">
      <alignment horizontal="center" vertical="center"/>
    </xf>
    <xf numFmtId="4" fontId="35" fillId="0" borderId="0" xfId="0" applyNumberFormat="1" applyFont="1"/>
    <xf numFmtId="0" fontId="34" fillId="6" borderId="11" xfId="0" applyFont="1" applyFill="1" applyBorder="1" applyAlignment="1">
      <alignment horizontal="right" vertical="center"/>
    </xf>
    <xf numFmtId="0" fontId="34" fillId="6" borderId="12" xfId="0" applyFont="1" applyFill="1" applyBorder="1" applyAlignment="1">
      <alignment horizontal="center" vertical="center"/>
    </xf>
    <xf numFmtId="0" fontId="34" fillId="0" borderId="0" xfId="0" applyFont="1" applyFill="1" applyBorder="1" applyAlignment="1">
      <alignment horizontal="right" vertical="center"/>
    </xf>
    <xf numFmtId="0" fontId="34" fillId="0" borderId="0" xfId="0" applyFont="1" applyFill="1" applyBorder="1" applyAlignment="1">
      <alignment horizontal="center" vertical="center"/>
    </xf>
    <xf numFmtId="166" fontId="35" fillId="0" borderId="29" xfId="0" applyNumberFormat="1" applyFont="1" applyFill="1" applyBorder="1"/>
    <xf numFmtId="2" fontId="35" fillId="0" borderId="29" xfId="0" applyNumberFormat="1" applyFont="1" applyFill="1" applyBorder="1" applyAlignment="1">
      <alignment horizontal="center" vertical="center"/>
    </xf>
    <xf numFmtId="166" fontId="35" fillId="0" borderId="24" xfId="0" applyNumberFormat="1" applyFont="1" applyFill="1" applyBorder="1"/>
    <xf numFmtId="2" fontId="35" fillId="0" borderId="24" xfId="0" applyNumberFormat="1" applyFont="1" applyFill="1" applyBorder="1" applyAlignment="1">
      <alignment horizontal="center" vertical="center"/>
    </xf>
    <xf numFmtId="166" fontId="35" fillId="0" borderId="0" xfId="0" applyNumberFormat="1" applyFont="1" applyFill="1" applyBorder="1"/>
    <xf numFmtId="2" fontId="35" fillId="0" borderId="0" xfId="0" applyNumberFormat="1" applyFont="1" applyFill="1" applyBorder="1" applyAlignment="1">
      <alignment horizontal="center" vertical="center"/>
    </xf>
    <xf numFmtId="166" fontId="35" fillId="13" borderId="24" xfId="0" applyNumberFormat="1" applyFont="1" applyFill="1" applyBorder="1"/>
    <xf numFmtId="2" fontId="35" fillId="13" borderId="24" xfId="0" applyNumberFormat="1" applyFont="1" applyFill="1" applyBorder="1" applyAlignment="1">
      <alignment horizontal="center" vertical="center"/>
    </xf>
    <xf numFmtId="166" fontId="35" fillId="13" borderId="0" xfId="0" applyNumberFormat="1" applyFont="1" applyFill="1" applyBorder="1"/>
    <xf numFmtId="2" fontId="35" fillId="13" borderId="0" xfId="0" applyNumberFormat="1" applyFont="1" applyFill="1" applyBorder="1" applyAlignment="1">
      <alignment horizontal="center" vertical="center"/>
    </xf>
    <xf numFmtId="0" fontId="35" fillId="0" borderId="0" xfId="0" applyFont="1" applyBorder="1"/>
    <xf numFmtId="166" fontId="35" fillId="0" borderId="0" xfId="0" applyNumberFormat="1" applyFont="1"/>
    <xf numFmtId="0" fontId="35" fillId="0" borderId="0" xfId="0" applyFont="1" applyAlignment="1">
      <alignment horizontal="left" vertical="top" wrapText="1"/>
    </xf>
    <xf numFmtId="0" fontId="42" fillId="0" borderId="0" xfId="0" applyFont="1" applyAlignment="1">
      <alignment vertical="center"/>
    </xf>
    <xf numFmtId="0" fontId="34" fillId="0" borderId="0" xfId="0" applyFont="1" applyAlignment="1">
      <alignment vertical="center"/>
    </xf>
    <xf numFmtId="0" fontId="39" fillId="0" borderId="0" xfId="0" applyFont="1" applyFill="1"/>
    <xf numFmtId="0" fontId="35" fillId="0" borderId="0" xfId="0" applyFont="1" applyFill="1"/>
    <xf numFmtId="0" fontId="35" fillId="15" borderId="20" xfId="0" applyFont="1" applyFill="1" applyBorder="1" applyAlignment="1">
      <alignment horizontal="center" vertical="center"/>
    </xf>
    <xf numFmtId="0" fontId="35" fillId="0" borderId="0" xfId="0" applyFont="1" applyFill="1" applyBorder="1"/>
    <xf numFmtId="0" fontId="34" fillId="6" borderId="0" xfId="0" applyFont="1" applyFill="1"/>
    <xf numFmtId="0" fontId="35" fillId="6" borderId="0" xfId="0" applyFont="1" applyFill="1"/>
    <xf numFmtId="166" fontId="34" fillId="14" borderId="0" xfId="0" applyNumberFormat="1" applyFont="1" applyFill="1" applyAlignment="1">
      <alignment vertical="center"/>
    </xf>
    <xf numFmtId="0" fontId="34" fillId="14" borderId="0" xfId="0" applyFont="1" applyFill="1"/>
    <xf numFmtId="0" fontId="35" fillId="14" borderId="0" xfId="0" applyFont="1" applyFill="1"/>
    <xf numFmtId="0" fontId="35" fillId="16" borderId="0" xfId="0" applyFont="1" applyFill="1"/>
    <xf numFmtId="166" fontId="34" fillId="0" borderId="0" xfId="0" applyNumberFormat="1" applyFont="1" applyFill="1" applyAlignment="1">
      <alignment vertical="center"/>
    </xf>
    <xf numFmtId="0" fontId="34" fillId="0" borderId="0" xfId="0" applyFont="1" applyFill="1"/>
    <xf numFmtId="166" fontId="35" fillId="0" borderId="0" xfId="0" applyNumberFormat="1" applyFont="1" applyFill="1" applyAlignment="1">
      <alignment vertical="center"/>
    </xf>
    <xf numFmtId="0" fontId="35" fillId="0" borderId="20" xfId="0" applyFont="1" applyBorder="1"/>
    <xf numFmtId="0" fontId="35" fillId="0" borderId="20" xfId="0" applyFont="1" applyBorder="1" applyAlignment="1">
      <alignment horizontal="center" vertical="center"/>
    </xf>
    <xf numFmtId="2" fontId="35" fillId="0" borderId="20" xfId="0" applyNumberFormat="1" applyFont="1" applyBorder="1" applyAlignment="1">
      <alignment horizontal="center" vertical="center"/>
    </xf>
    <xf numFmtId="166" fontId="35" fillId="14" borderId="20" xfId="0" applyNumberFormat="1" applyFont="1" applyFill="1" applyBorder="1"/>
    <xf numFmtId="0" fontId="35" fillId="0" borderId="20" xfId="0" applyFont="1" applyFill="1" applyBorder="1"/>
    <xf numFmtId="0" fontId="21" fillId="0" borderId="0" xfId="0" applyFont="1" applyAlignment="1">
      <alignment horizontal="left" vertical="center"/>
    </xf>
    <xf numFmtId="0" fontId="36" fillId="0" borderId="0" xfId="89" applyFont="1" applyFill="1" applyAlignment="1">
      <alignment horizontal="left" vertical="center"/>
    </xf>
    <xf numFmtId="0" fontId="23" fillId="0" borderId="0" xfId="89" applyFont="1" applyFill="1"/>
    <xf numFmtId="0" fontId="25" fillId="0" borderId="0" xfId="89" applyFont="1" applyFill="1"/>
    <xf numFmtId="0" fontId="20" fillId="0" borderId="0" xfId="89" applyFont="1" applyFill="1" applyAlignment="1">
      <alignment horizontal="left" vertical="center"/>
    </xf>
    <xf numFmtId="49" fontId="23" fillId="0" borderId="0" xfId="89" applyNumberFormat="1" applyFont="1" applyFill="1" applyAlignment="1">
      <alignment horizontal="left" vertical="center"/>
    </xf>
    <xf numFmtId="0" fontId="19" fillId="0" borderId="0" xfId="89" applyFont="1" applyFill="1" applyAlignment="1">
      <alignment horizontal="left" vertical="center"/>
    </xf>
    <xf numFmtId="0" fontId="40" fillId="0" borderId="20" xfId="89" applyFont="1" applyBorder="1" applyAlignment="1">
      <alignment horizontal="center" vertical="center" wrapText="1"/>
    </xf>
    <xf numFmtId="0" fontId="40" fillId="0" borderId="21" xfId="89" applyFont="1" applyBorder="1" applyAlignment="1">
      <alignment horizontal="center" vertical="center" wrapText="1"/>
    </xf>
    <xf numFmtId="0" fontId="39" fillId="0" borderId="22" xfId="89" applyFont="1" applyBorder="1" applyAlignment="1">
      <alignment horizontal="center" vertical="center" wrapText="1"/>
    </xf>
    <xf numFmtId="0" fontId="39" fillId="0" borderId="23" xfId="89" applyFont="1" applyFill="1" applyBorder="1" applyAlignment="1">
      <alignment horizontal="center" vertical="center" wrapText="1"/>
    </xf>
    <xf numFmtId="0" fontId="35" fillId="7" borderId="26" xfId="0" applyFont="1" applyFill="1" applyBorder="1" applyAlignment="1">
      <alignment vertical="center" wrapText="1"/>
    </xf>
    <xf numFmtId="0" fontId="24" fillId="0" borderId="0" xfId="89" applyFont="1" applyAlignment="1">
      <alignment horizontal="left" vertical="top" wrapText="1"/>
    </xf>
    <xf numFmtId="0" fontId="39" fillId="0" borderId="10" xfId="89" applyFont="1" applyFill="1" applyBorder="1" applyAlignment="1">
      <alignment horizontal="center" vertical="center" wrapText="1"/>
    </xf>
    <xf numFmtId="166" fontId="40" fillId="0" borderId="20" xfId="89" applyNumberFormat="1" applyFont="1" applyBorder="1" applyAlignment="1">
      <alignment horizontal="center" vertical="center" wrapText="1"/>
    </xf>
    <xf numFmtId="166" fontId="40" fillId="0" borderId="21" xfId="89" applyNumberFormat="1" applyFont="1" applyBorder="1" applyAlignment="1">
      <alignment horizontal="center" vertical="center" wrapText="1"/>
    </xf>
    <xf numFmtId="166" fontId="39" fillId="0" borderId="22" xfId="89" applyNumberFormat="1" applyFont="1" applyBorder="1" applyAlignment="1">
      <alignment horizontal="center" vertical="center" wrapText="1"/>
    </xf>
    <xf numFmtId="166" fontId="39" fillId="0" borderId="23" xfId="89" applyNumberFormat="1" applyFont="1" applyFill="1" applyBorder="1" applyAlignment="1">
      <alignment horizontal="center" vertical="center" wrapText="1"/>
    </xf>
    <xf numFmtId="166" fontId="40" fillId="0" borderId="5" xfId="89" applyNumberFormat="1" applyFont="1" applyBorder="1" applyAlignment="1">
      <alignment horizontal="center" vertical="center" wrapText="1"/>
    </xf>
    <xf numFmtId="166" fontId="40" fillId="0" borderId="27" xfId="89" applyNumberFormat="1" applyFont="1" applyBorder="1" applyAlignment="1">
      <alignment horizontal="center" vertical="center" wrapText="1"/>
    </xf>
    <xf numFmtId="166" fontId="39" fillId="0" borderId="28" xfId="89" applyNumberFormat="1" applyFont="1" applyBorder="1" applyAlignment="1">
      <alignment horizontal="center" vertical="center" wrapText="1"/>
    </xf>
    <xf numFmtId="166" fontId="39" fillId="0" borderId="8" xfId="89" applyNumberFormat="1" applyFont="1" applyFill="1" applyBorder="1" applyAlignment="1">
      <alignment horizontal="center" vertical="center" wrapText="1"/>
    </xf>
    <xf numFmtId="0" fontId="35" fillId="0" borderId="0" xfId="89" applyFont="1" applyFill="1" applyAlignment="1">
      <alignment horizontal="left" vertical="center"/>
    </xf>
    <xf numFmtId="166" fontId="40" fillId="0" borderId="4" xfId="89" applyNumberFormat="1" applyFont="1" applyBorder="1" applyAlignment="1">
      <alignment horizontal="center" vertical="center" wrapText="1"/>
    </xf>
    <xf numFmtId="166" fontId="39" fillId="0" borderId="4" xfId="89" applyNumberFormat="1" applyFont="1" applyBorder="1" applyAlignment="1">
      <alignment horizontal="center" vertical="center" wrapText="1"/>
    </xf>
    <xf numFmtId="166" fontId="39" fillId="0" borderId="10" xfId="89" applyNumberFormat="1" applyFont="1" applyFill="1" applyBorder="1" applyAlignment="1">
      <alignment horizontal="center" vertical="center" wrapText="1"/>
    </xf>
    <xf numFmtId="166" fontId="39" fillId="0" borderId="20" xfId="89" applyNumberFormat="1" applyFont="1" applyBorder="1" applyAlignment="1">
      <alignment horizontal="center" vertical="center" wrapText="1"/>
    </xf>
    <xf numFmtId="166" fontId="24" fillId="2" borderId="20" xfId="89" applyNumberFormat="1" applyFont="1" applyFill="1" applyBorder="1" applyAlignment="1">
      <alignment horizontal="right" vertical="center" wrapText="1"/>
    </xf>
    <xf numFmtId="0" fontId="42" fillId="0" borderId="0" xfId="0" applyFont="1" applyAlignment="1">
      <alignment horizontal="left" vertical="center"/>
    </xf>
    <xf numFmtId="0" fontId="34" fillId="0" borderId="0" xfId="0" applyFont="1" applyAlignment="1">
      <alignment horizontal="left" vertical="center"/>
    </xf>
    <xf numFmtId="0" fontId="26" fillId="12" borderId="2" xfId="89" applyFont="1" applyFill="1" applyBorder="1" applyAlignment="1">
      <alignment horizontal="center" vertical="center" wrapText="1"/>
    </xf>
    <xf numFmtId="0" fontId="27" fillId="12" borderId="19" xfId="89" applyFont="1" applyFill="1" applyBorder="1" applyAlignment="1">
      <alignment horizontal="center" vertical="center" wrapText="1"/>
    </xf>
    <xf numFmtId="1" fontId="27" fillId="0" borderId="19" xfId="89" applyNumberFormat="1" applyFont="1" applyFill="1" applyBorder="1" applyAlignment="1">
      <alignment horizontal="center" vertical="center" wrapText="1"/>
    </xf>
    <xf numFmtId="1" fontId="27" fillId="0" borderId="19" xfId="89" applyNumberFormat="1" applyFont="1" applyBorder="1" applyAlignment="1">
      <alignment horizontal="center" vertical="center" wrapText="1"/>
    </xf>
    <xf numFmtId="1" fontId="27" fillId="0" borderId="40" xfId="89" applyNumberFormat="1" applyFont="1" applyBorder="1" applyAlignment="1">
      <alignment horizontal="center" vertical="center" wrapText="1"/>
    </xf>
    <xf numFmtId="0" fontId="40" fillId="0" borderId="0" xfId="89" applyFont="1" applyFill="1" applyBorder="1" applyAlignment="1">
      <alignment vertical="center" wrapText="1"/>
    </xf>
    <xf numFmtId="0" fontId="40" fillId="7" borderId="20" xfId="89" applyFont="1" applyFill="1" applyBorder="1" applyAlignment="1">
      <alignment horizontal="left" vertical="center" wrapText="1"/>
    </xf>
    <xf numFmtId="0" fontId="40" fillId="17" borderId="20" xfId="89" applyFont="1" applyFill="1" applyBorder="1" applyAlignment="1">
      <alignment vertical="center" wrapText="1"/>
    </xf>
    <xf numFmtId="0" fontId="24" fillId="17" borderId="28" xfId="89" applyFont="1" applyFill="1" applyBorder="1" applyAlignment="1">
      <alignment horizontal="left" vertical="center" wrapText="1"/>
    </xf>
    <xf numFmtId="49" fontId="24" fillId="17" borderId="5" xfId="89" applyNumberFormat="1" applyFont="1" applyFill="1" applyBorder="1" applyAlignment="1">
      <alignment horizontal="left" vertical="center" wrapText="1"/>
    </xf>
    <xf numFmtId="14" fontId="24" fillId="17" borderId="27" xfId="89" applyNumberFormat="1" applyFont="1" applyFill="1" applyBorder="1" applyAlignment="1">
      <alignment horizontal="center" vertical="center" wrapText="1"/>
    </xf>
    <xf numFmtId="0" fontId="24" fillId="17" borderId="22" xfId="89" applyFont="1" applyFill="1" applyBorder="1" applyAlignment="1">
      <alignment horizontal="center" vertical="center" wrapText="1"/>
    </xf>
    <xf numFmtId="0" fontId="24" fillId="17" borderId="20" xfId="89" applyFont="1" applyFill="1" applyBorder="1" applyAlignment="1">
      <alignment horizontal="center" vertical="center" wrapText="1"/>
    </xf>
    <xf numFmtId="167" fontId="28" fillId="17" borderId="20" xfId="89" applyNumberFormat="1" applyFont="1" applyFill="1" applyBorder="1" applyAlignment="1">
      <alignment horizontal="center" vertical="center" wrapText="1"/>
    </xf>
    <xf numFmtId="0" fontId="24" fillId="17" borderId="23" xfId="89" applyFont="1" applyFill="1" applyBorder="1" applyAlignment="1">
      <alignment horizontal="left" vertical="center" wrapText="1"/>
    </xf>
    <xf numFmtId="0" fontId="24" fillId="17" borderId="29" xfId="89" applyFont="1" applyFill="1" applyBorder="1" applyAlignment="1">
      <alignment horizontal="left" vertical="center" wrapText="1"/>
    </xf>
    <xf numFmtId="0" fontId="24" fillId="17" borderId="22" xfId="89" applyFont="1" applyFill="1" applyBorder="1" applyAlignment="1">
      <alignment horizontal="left" vertical="center" wrapText="1"/>
    </xf>
    <xf numFmtId="0" fontId="24" fillId="17" borderId="40" xfId="89" applyFont="1" applyFill="1" applyBorder="1" applyAlignment="1">
      <alignment horizontal="center" vertical="center" wrapText="1"/>
    </xf>
    <xf numFmtId="166" fontId="24" fillId="17" borderId="5" xfId="89" applyNumberFormat="1" applyFont="1" applyFill="1" applyBorder="1" applyAlignment="1">
      <alignment horizontal="right" vertical="center" wrapText="1"/>
    </xf>
    <xf numFmtId="0" fontId="24" fillId="17" borderId="30" xfId="89" applyFont="1" applyFill="1" applyBorder="1" applyAlignment="1">
      <alignment horizontal="left" vertical="center" wrapText="1"/>
    </xf>
    <xf numFmtId="0" fontId="24" fillId="17" borderId="5" xfId="89" applyFont="1" applyFill="1" applyBorder="1" applyAlignment="1">
      <alignment horizontal="center" vertical="center" wrapText="1"/>
    </xf>
    <xf numFmtId="0" fontId="24" fillId="17" borderId="30" xfId="89" applyFont="1" applyFill="1" applyBorder="1" applyAlignment="1">
      <alignment vertical="center" wrapText="1"/>
    </xf>
    <xf numFmtId="49" fontId="35" fillId="17" borderId="5" xfId="0" applyNumberFormat="1" applyFont="1" applyFill="1" applyBorder="1" applyAlignment="1">
      <alignment horizontal="left" vertical="center" wrapText="1"/>
    </xf>
    <xf numFmtId="14" fontId="35" fillId="17" borderId="27" xfId="0" applyNumberFormat="1" applyFont="1" applyFill="1" applyBorder="1" applyAlignment="1">
      <alignment horizontal="center" vertical="center" wrapText="1"/>
    </xf>
    <xf numFmtId="0" fontId="35" fillId="17" borderId="22" xfId="0" applyFont="1" applyFill="1" applyBorder="1" applyAlignment="1">
      <alignment horizontal="center" vertical="center" wrapText="1"/>
    </xf>
    <xf numFmtId="0" fontId="35" fillId="17" borderId="29" xfId="0" applyFont="1" applyFill="1" applyBorder="1" applyAlignment="1">
      <alignment horizontal="left" vertical="center" wrapText="1"/>
    </xf>
    <xf numFmtId="0" fontId="24" fillId="17" borderId="22" xfId="0" applyFont="1" applyFill="1" applyBorder="1" applyAlignment="1">
      <alignment horizontal="center" vertical="center" wrapText="1"/>
    </xf>
    <xf numFmtId="0" fontId="35" fillId="17" borderId="28" xfId="0" applyFont="1" applyFill="1" applyBorder="1" applyAlignment="1">
      <alignment horizontal="left" vertical="center" wrapText="1"/>
    </xf>
    <xf numFmtId="0" fontId="35" fillId="17" borderId="36" xfId="0" applyFont="1" applyFill="1" applyBorder="1" applyAlignment="1">
      <alignment horizontal="left" vertical="center" wrapText="1"/>
    </xf>
    <xf numFmtId="0" fontId="24" fillId="17" borderId="28" xfId="0" applyFont="1" applyFill="1" applyBorder="1" applyAlignment="1">
      <alignment horizontal="left" vertical="center" wrapText="1"/>
    </xf>
    <xf numFmtId="49" fontId="35" fillId="17" borderId="5" xfId="0" applyNumberFormat="1" applyFont="1" applyFill="1" applyBorder="1" applyAlignment="1">
      <alignment vertical="center" wrapText="1"/>
    </xf>
    <xf numFmtId="0" fontId="24" fillId="17" borderId="29" xfId="0" applyFont="1" applyFill="1" applyBorder="1" applyAlignment="1">
      <alignment horizontal="left" vertical="center" wrapText="1"/>
    </xf>
    <xf numFmtId="0" fontId="28" fillId="17" borderId="30" xfId="89" applyFont="1" applyFill="1" applyBorder="1" applyAlignment="1">
      <alignment vertical="center" wrapText="1"/>
    </xf>
    <xf numFmtId="0" fontId="24" fillId="17" borderId="31" xfId="89" applyFont="1" applyFill="1" applyBorder="1" applyAlignment="1">
      <alignment vertical="center" wrapText="1"/>
    </xf>
    <xf numFmtId="49" fontId="24" fillId="17" borderId="5" xfId="0" applyNumberFormat="1" applyFont="1" applyFill="1" applyBorder="1" applyAlignment="1">
      <alignment horizontal="left" vertical="center" wrapText="1"/>
    </xf>
    <xf numFmtId="0" fontId="35" fillId="17" borderId="28" xfId="0" applyFont="1" applyFill="1" applyBorder="1" applyAlignment="1">
      <alignment horizontal="center" vertical="center" wrapText="1"/>
    </xf>
    <xf numFmtId="49" fontId="35" fillId="17" borderId="20" xfId="0" applyNumberFormat="1" applyFont="1" applyFill="1" applyBorder="1" applyAlignment="1">
      <alignment horizontal="left" vertical="center" wrapText="1"/>
    </xf>
    <xf numFmtId="14" fontId="35" fillId="17" borderId="23" xfId="0" applyNumberFormat="1" applyFont="1" applyFill="1" applyBorder="1" applyAlignment="1">
      <alignment horizontal="center" vertical="center" wrapText="1"/>
    </xf>
    <xf numFmtId="0" fontId="35" fillId="13" borderId="0" xfId="89" applyFont="1" applyFill="1" applyBorder="1" applyAlignment="1">
      <alignment horizontal="left" vertical="center"/>
    </xf>
    <xf numFmtId="0" fontId="34" fillId="0" borderId="0" xfId="89" applyFont="1" applyAlignment="1">
      <alignment horizontal="left" vertical="center" wrapText="1"/>
    </xf>
    <xf numFmtId="0" fontId="35" fillId="0" borderId="0" xfId="0" applyFont="1" applyAlignment="1">
      <alignment horizontal="left" vertical="center" wrapText="1"/>
    </xf>
    <xf numFmtId="49" fontId="34" fillId="0" borderId="9" xfId="0" applyNumberFormat="1" applyFont="1" applyBorder="1" applyAlignment="1">
      <alignment horizontal="center" vertical="center" wrapText="1"/>
    </xf>
    <xf numFmtId="49" fontId="34" fillId="0" borderId="3" xfId="0" applyNumberFormat="1" applyFont="1" applyBorder="1" applyAlignment="1">
      <alignment horizontal="center" vertical="center" wrapText="1"/>
    </xf>
    <xf numFmtId="49" fontId="34" fillId="0" borderId="6" xfId="0" applyNumberFormat="1" applyFont="1" applyBorder="1" applyAlignment="1">
      <alignment horizontal="center" vertical="center" wrapText="1"/>
    </xf>
    <xf numFmtId="0" fontId="35" fillId="0" borderId="49" xfId="0" applyFont="1" applyFill="1" applyBorder="1" applyAlignment="1">
      <alignment horizontal="center" vertical="center"/>
    </xf>
    <xf numFmtId="166" fontId="35" fillId="0" borderId="31" xfId="0" applyNumberFormat="1" applyFont="1" applyFill="1" applyBorder="1"/>
    <xf numFmtId="0" fontId="35" fillId="0" borderId="50" xfId="0" applyFont="1" applyFill="1" applyBorder="1" applyAlignment="1">
      <alignment horizontal="center" vertical="center"/>
    </xf>
    <xf numFmtId="166" fontId="35" fillId="0" borderId="30" xfId="0" applyNumberFormat="1" applyFont="1" applyFill="1" applyBorder="1"/>
    <xf numFmtId="0" fontId="35" fillId="0" borderId="51" xfId="0" applyFont="1" applyFill="1" applyBorder="1" applyAlignment="1">
      <alignment horizontal="center" vertical="center"/>
    </xf>
    <xf numFmtId="166" fontId="35" fillId="0" borderId="46" xfId="0" applyNumberFormat="1" applyFont="1" applyFill="1" applyBorder="1"/>
    <xf numFmtId="0" fontId="35" fillId="13" borderId="50" xfId="0" applyFont="1" applyFill="1" applyBorder="1" applyAlignment="1">
      <alignment horizontal="center" vertical="center"/>
    </xf>
    <xf numFmtId="166" fontId="35" fillId="13" borderId="30" xfId="0" applyNumberFormat="1" applyFont="1" applyFill="1" applyBorder="1"/>
    <xf numFmtId="0" fontId="35" fillId="13" borderId="51" xfId="0" applyFont="1" applyFill="1" applyBorder="1" applyAlignment="1">
      <alignment horizontal="center" vertical="center"/>
    </xf>
    <xf numFmtId="166" fontId="35" fillId="13" borderId="46" xfId="0" applyNumberFormat="1" applyFont="1" applyFill="1" applyBorder="1"/>
    <xf numFmtId="0" fontId="35" fillId="13" borderId="52" xfId="0" applyFont="1" applyFill="1" applyBorder="1" applyAlignment="1">
      <alignment horizontal="center" vertical="center"/>
    </xf>
    <xf numFmtId="166" fontId="35" fillId="13" borderId="53" xfId="0" applyNumberFormat="1" applyFont="1" applyFill="1" applyBorder="1"/>
    <xf numFmtId="2" fontId="35" fillId="13" borderId="53" xfId="0" applyNumberFormat="1" applyFont="1" applyFill="1" applyBorder="1" applyAlignment="1">
      <alignment horizontal="center" vertical="center"/>
    </xf>
    <xf numFmtId="166" fontId="35" fillId="13" borderId="54" xfId="0" applyNumberFormat="1" applyFont="1" applyFill="1" applyBorder="1"/>
    <xf numFmtId="0" fontId="34" fillId="2" borderId="11" xfId="0" applyFont="1" applyFill="1" applyBorder="1" applyAlignment="1">
      <alignment horizontal="center" vertical="center"/>
    </xf>
    <xf numFmtId="166" fontId="34" fillId="2" borderId="45" xfId="0" applyNumberFormat="1" applyFont="1" applyFill="1" applyBorder="1" applyAlignment="1">
      <alignment horizontal="center" vertical="center"/>
    </xf>
    <xf numFmtId="0" fontId="34" fillId="2" borderId="45" xfId="0" applyFont="1" applyFill="1" applyBorder="1" applyAlignment="1">
      <alignment horizontal="right" vertical="center"/>
    </xf>
    <xf numFmtId="166" fontId="34" fillId="2" borderId="12" xfId="0" applyNumberFormat="1" applyFont="1" applyFill="1" applyBorder="1"/>
    <xf numFmtId="0" fontId="34" fillId="2" borderId="11" xfId="0" applyFont="1" applyFill="1" applyBorder="1" applyAlignment="1">
      <alignment horizontal="right" vertical="center"/>
    </xf>
    <xf numFmtId="8" fontId="35" fillId="2" borderId="12" xfId="0" applyNumberFormat="1" applyFont="1" applyFill="1" applyBorder="1"/>
    <xf numFmtId="0" fontId="35" fillId="18" borderId="0" xfId="0" applyFont="1" applyFill="1"/>
    <xf numFmtId="0" fontId="35" fillId="18" borderId="47" xfId="0" applyFont="1" applyFill="1" applyBorder="1" applyAlignment="1">
      <alignment horizontal="left" vertical="center"/>
    </xf>
    <xf numFmtId="0" fontId="35" fillId="13" borderId="0" xfId="0" applyFont="1" applyFill="1"/>
    <xf numFmtId="0" fontId="35" fillId="15" borderId="16" xfId="0" applyFont="1" applyFill="1" applyBorder="1" applyAlignment="1">
      <alignment horizontal="center" vertical="center"/>
    </xf>
    <xf numFmtId="0" fontId="35" fillId="15" borderId="18" xfId="0" applyFont="1" applyFill="1" applyBorder="1" applyAlignment="1">
      <alignment horizontal="center"/>
    </xf>
    <xf numFmtId="0" fontId="24" fillId="15" borderId="23" xfId="0" applyFont="1" applyFill="1" applyBorder="1" applyAlignment="1">
      <alignment horizontal="center" vertical="center" wrapText="1"/>
    </xf>
    <xf numFmtId="0" fontId="35" fillId="15" borderId="23" xfId="0" applyFont="1" applyFill="1" applyBorder="1" applyAlignment="1">
      <alignment horizontal="center" vertical="center" wrapText="1"/>
    </xf>
    <xf numFmtId="0" fontId="24" fillId="15" borderId="23" xfId="89" applyFont="1" applyFill="1" applyBorder="1" applyAlignment="1">
      <alignment horizontal="center" vertical="center" wrapText="1"/>
    </xf>
    <xf numFmtId="0" fontId="35" fillId="15" borderId="56" xfId="0" applyFont="1" applyFill="1" applyBorder="1" applyAlignment="1">
      <alignment horizontal="left" vertical="center" wrapText="1"/>
    </xf>
    <xf numFmtId="0" fontId="24" fillId="15" borderId="57" xfId="89" applyFont="1" applyFill="1" applyBorder="1" applyAlignment="1">
      <alignment horizontal="center" vertical="center" wrapText="1"/>
    </xf>
    <xf numFmtId="0" fontId="39" fillId="18" borderId="0" xfId="0" applyFont="1" applyFill="1"/>
    <xf numFmtId="49" fontId="35" fillId="17" borderId="27" xfId="0" applyNumberFormat="1" applyFont="1" applyFill="1" applyBorder="1" applyAlignment="1">
      <alignment horizontal="center" vertical="center" wrapText="1"/>
    </xf>
    <xf numFmtId="0" fontId="34" fillId="18" borderId="27" xfId="0" applyFont="1" applyFill="1" applyBorder="1" applyAlignment="1">
      <alignment horizontal="left" vertical="top"/>
    </xf>
    <xf numFmtId="0" fontId="34" fillId="2" borderId="27" xfId="0" applyFont="1" applyFill="1" applyBorder="1"/>
    <xf numFmtId="0" fontId="35" fillId="2" borderId="29" xfId="0" applyFont="1" applyFill="1" applyBorder="1"/>
    <xf numFmtId="0" fontId="0" fillId="2" borderId="29" xfId="0" applyFill="1" applyBorder="1"/>
    <xf numFmtId="0" fontId="0" fillId="2" borderId="40" xfId="0" applyFill="1" applyBorder="1"/>
    <xf numFmtId="0" fontId="35" fillId="2" borderId="47" xfId="0" applyFont="1" applyFill="1" applyBorder="1"/>
    <xf numFmtId="0" fontId="35" fillId="2" borderId="0" xfId="0" applyFont="1" applyFill="1"/>
    <xf numFmtId="0" fontId="0" fillId="2" borderId="0" xfId="0" applyFill="1"/>
    <xf numFmtId="0" fontId="0" fillId="2" borderId="55" xfId="0" applyFill="1" applyBorder="1"/>
    <xf numFmtId="0" fontId="35" fillId="0" borderId="0" xfId="0" applyFont="1" applyAlignment="1">
      <alignment horizontal="left" vertical="top" wrapText="1"/>
    </xf>
    <xf numFmtId="49" fontId="35" fillId="0" borderId="0" xfId="0" applyNumberFormat="1" applyFont="1" applyAlignment="1">
      <alignment wrapText="1"/>
    </xf>
    <xf numFmtId="0" fontId="35" fillId="18" borderId="29" xfId="0" applyFont="1" applyFill="1" applyBorder="1" applyAlignment="1">
      <alignment horizontal="left" vertical="center" wrapText="1"/>
    </xf>
    <xf numFmtId="0" fontId="0" fillId="0" borderId="29" xfId="0" applyBorder="1" applyAlignment="1">
      <alignment wrapText="1"/>
    </xf>
    <xf numFmtId="0" fontId="0" fillId="0" borderId="40" xfId="0" applyBorder="1" applyAlignment="1">
      <alignment wrapText="1"/>
    </xf>
    <xf numFmtId="49" fontId="35" fillId="2" borderId="47" xfId="0" applyNumberFormat="1" applyFont="1" applyFill="1" applyBorder="1" applyAlignment="1">
      <alignment horizontal="left" vertical="top" wrapText="1"/>
    </xf>
    <xf numFmtId="49" fontId="35" fillId="2" borderId="0" xfId="0" applyNumberFormat="1" applyFont="1" applyFill="1" applyAlignment="1">
      <alignment wrapText="1"/>
    </xf>
    <xf numFmtId="49" fontId="0" fillId="2" borderId="0" xfId="0" applyNumberFormat="1" applyFill="1" applyAlignment="1">
      <alignment wrapText="1"/>
    </xf>
    <xf numFmtId="49" fontId="0" fillId="2" borderId="55" xfId="0" applyNumberFormat="1" applyFill="1" applyBorder="1" applyAlignment="1">
      <alignment wrapText="1"/>
    </xf>
    <xf numFmtId="0" fontId="0" fillId="2" borderId="47" xfId="0" applyFill="1" applyBorder="1" applyAlignment="1">
      <alignment wrapText="1"/>
    </xf>
    <xf numFmtId="0" fontId="0" fillId="2" borderId="0" xfId="0" applyFill="1" applyAlignment="1">
      <alignment wrapText="1"/>
    </xf>
    <xf numFmtId="0" fontId="0" fillId="2" borderId="55" xfId="0" applyFill="1" applyBorder="1" applyAlignment="1">
      <alignment wrapText="1"/>
    </xf>
    <xf numFmtId="0" fontId="35" fillId="2" borderId="47" xfId="0" applyFont="1" applyFill="1" applyBorder="1" applyAlignment="1">
      <alignment horizontal="left" vertical="top" wrapText="1"/>
    </xf>
    <xf numFmtId="0" fontId="35" fillId="2" borderId="0" xfId="0" applyFont="1" applyFill="1" applyAlignment="1">
      <alignment horizontal="left" vertical="top" wrapText="1"/>
    </xf>
    <xf numFmtId="0" fontId="35" fillId="2" borderId="55" xfId="0" applyFont="1" applyFill="1" applyBorder="1" applyAlignment="1">
      <alignment horizontal="left" vertical="top" wrapText="1"/>
    </xf>
    <xf numFmtId="0" fontId="35" fillId="2" borderId="32" xfId="0" applyFont="1" applyFill="1" applyBorder="1" applyAlignment="1">
      <alignment horizontal="left" vertical="top" wrapText="1"/>
    </xf>
    <xf numFmtId="0" fontId="35" fillId="2" borderId="1" xfId="0" applyFont="1" applyFill="1" applyBorder="1" applyAlignment="1">
      <alignment horizontal="left" vertical="top" wrapText="1"/>
    </xf>
    <xf numFmtId="0" fontId="35" fillId="2" borderId="2" xfId="0" applyFont="1" applyFill="1" applyBorder="1" applyAlignment="1">
      <alignment horizontal="left" vertical="top" wrapText="1"/>
    </xf>
    <xf numFmtId="0" fontId="35" fillId="18" borderId="0" xfId="0" applyFont="1" applyFill="1" applyBorder="1" applyAlignment="1">
      <alignment horizontal="left" vertical="center" wrapText="1"/>
    </xf>
    <xf numFmtId="0" fontId="0" fillId="18" borderId="0" xfId="0" applyFill="1" applyBorder="1" applyAlignment="1">
      <alignment wrapText="1"/>
    </xf>
    <xf numFmtId="0" fontId="0" fillId="18" borderId="55" xfId="0" applyFill="1" applyBorder="1" applyAlignment="1">
      <alignment wrapText="1"/>
    </xf>
    <xf numFmtId="0" fontId="28" fillId="0" borderId="9" xfId="89" applyFont="1" applyBorder="1" applyAlignment="1">
      <alignment horizontal="center" vertical="center"/>
    </xf>
    <xf numFmtId="0" fontId="28" fillId="0" borderId="3" xfId="89" applyFont="1" applyBorder="1" applyAlignment="1">
      <alignment horizontal="center" vertical="center"/>
    </xf>
    <xf numFmtId="0" fontId="28" fillId="0" borderId="6" xfId="89" applyFont="1" applyBorder="1" applyAlignment="1">
      <alignment horizontal="center" vertical="center"/>
    </xf>
    <xf numFmtId="0" fontId="28" fillId="0" borderId="13" xfId="89" applyFont="1" applyBorder="1" applyAlignment="1">
      <alignment horizontal="center" vertical="center"/>
    </xf>
    <xf numFmtId="0" fontId="28" fillId="0" borderId="14" xfId="89" applyFont="1" applyBorder="1" applyAlignment="1">
      <alignment horizontal="center" vertical="center"/>
    </xf>
    <xf numFmtId="49" fontId="24" fillId="0" borderId="0" xfId="89" applyNumberFormat="1" applyFont="1" applyAlignment="1">
      <alignment vertical="center" wrapText="1"/>
    </xf>
    <xf numFmtId="49" fontId="0" fillId="0" borderId="0" xfId="0" applyNumberFormat="1" applyAlignment="1">
      <alignment vertical="center" wrapText="1"/>
    </xf>
    <xf numFmtId="0" fontId="34" fillId="0" borderId="0" xfId="89" applyFont="1" applyAlignment="1">
      <alignment horizontal="left" vertical="center" wrapText="1"/>
    </xf>
    <xf numFmtId="0" fontId="0" fillId="0" borderId="0" xfId="0" applyAlignment="1">
      <alignment vertical="center" wrapText="1"/>
    </xf>
    <xf numFmtId="49" fontId="40" fillId="2" borderId="0" xfId="0" applyNumberFormat="1" applyFont="1" applyFill="1" applyAlignment="1">
      <alignment horizontal="left" vertical="center" wrapText="1"/>
    </xf>
    <xf numFmtId="0" fontId="35" fillId="0" borderId="0" xfId="0" applyFont="1" applyAlignment="1">
      <alignment wrapText="1"/>
    </xf>
    <xf numFmtId="0" fontId="0" fillId="0" borderId="0" xfId="0" applyAlignment="1">
      <alignment wrapText="1"/>
    </xf>
    <xf numFmtId="0" fontId="35" fillId="16" borderId="0" xfId="0" applyFont="1" applyFill="1" applyAlignment="1">
      <alignment wrapText="1"/>
    </xf>
    <xf numFmtId="0" fontId="35" fillId="18" borderId="32" xfId="0" applyFont="1" applyFill="1" applyBorder="1" applyAlignment="1">
      <alignment horizontal="left" vertical="center"/>
    </xf>
    <xf numFmtId="49" fontId="35" fillId="18" borderId="1" xfId="0" applyNumberFormat="1" applyFont="1" applyFill="1" applyBorder="1" applyAlignment="1">
      <alignment horizontal="left" vertical="center" wrapText="1"/>
    </xf>
    <xf numFmtId="49" fontId="0" fillId="18" borderId="1" xfId="0" applyNumberFormat="1" applyFill="1" applyBorder="1" applyAlignment="1">
      <alignment wrapText="1"/>
    </xf>
    <xf numFmtId="49" fontId="0" fillId="18" borderId="2" xfId="0" applyNumberFormat="1" applyFill="1" applyBorder="1" applyAlignment="1">
      <alignment wrapText="1"/>
    </xf>
  </cellXfs>
  <cellStyles count="90">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Besuchter Hyperlink" xfId="44" builtinId="9" hidden="1"/>
    <cellStyle name="Besuchter Hyperlink" xfId="46" builtinId="9" hidden="1"/>
    <cellStyle name="Besuchter Hyperlink" xfId="48" builtinId="9" hidden="1"/>
    <cellStyle name="Besuchter Hyperlink" xfId="50" builtinId="9" hidden="1"/>
    <cellStyle name="Besuchter Hyperlink" xfId="52" builtinId="9" hidden="1"/>
    <cellStyle name="Besuchter Hyperlink" xfId="54" builtinId="9" hidden="1"/>
    <cellStyle name="Besuchter Hyperlink" xfId="56" builtinId="9" hidden="1"/>
    <cellStyle name="Besuchter Hyperlink" xfId="58" builtinId="9" hidden="1"/>
    <cellStyle name="Besuchter Hyperlink" xfId="60" builtinId="9" hidden="1"/>
    <cellStyle name="Besuchter Hyperlink" xfId="62" builtinId="9" hidden="1"/>
    <cellStyle name="Besuchter Hyperlink" xfId="64" builtinId="9" hidden="1"/>
    <cellStyle name="Besuchter Hyperlink" xfId="66" builtinId="9" hidden="1"/>
    <cellStyle name="Besuchter Hyperlink" xfId="68" builtinId="9" hidden="1"/>
    <cellStyle name="Besuchter Hyperlink" xfId="70" builtinId="9" hidden="1"/>
    <cellStyle name="Besuchter Hyperlink" xfId="72" builtinId="9" hidden="1"/>
    <cellStyle name="Besuchter Hyperlink" xfId="74" builtinId="9" hidden="1"/>
    <cellStyle name="Besuchter Hyperlink" xfId="76" builtinId="9" hidden="1"/>
    <cellStyle name="Besuchter Hyperlink" xfId="78" builtinId="9" hidden="1"/>
    <cellStyle name="Besuchter Hyperlink" xfId="80" builtinId="9" hidden="1"/>
    <cellStyle name="Besuchter Hyperlink" xfId="82" builtinId="9" hidden="1"/>
    <cellStyle name="Besuchter Hyperlink" xfId="84" builtinId="9" hidden="1"/>
    <cellStyle name="Besuchter Hyperlink" xfId="86" builtinId="9" hidden="1"/>
    <cellStyle name="Besuchter Hyperlink" xfId="88"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3" builtinId="8" hidden="1"/>
    <cellStyle name="Link" xfId="75" builtinId="8" hidden="1"/>
    <cellStyle name="Link" xfId="77" builtinId="8" hidden="1"/>
    <cellStyle name="Link" xfId="79" builtinId="8" hidden="1"/>
    <cellStyle name="Link" xfId="81" builtinId="8" hidden="1"/>
    <cellStyle name="Link" xfId="83" builtinId="8" hidden="1"/>
    <cellStyle name="Link" xfId="85" builtinId="8" hidden="1"/>
    <cellStyle name="Link" xfId="87" builtinId="8" hidden="1"/>
    <cellStyle name="Standard" xfId="0" builtinId="0"/>
    <cellStyle name="Standard 2" xfId="89" xr:uid="{456D489F-5153-4CEB-AC03-CE62E4129562}"/>
  </cellStyles>
  <dxfs count="0"/>
  <tableStyles count="0" defaultTableStyle="TableStyleMedium9" defaultPivotStyle="PivotStyleMedium4"/>
  <colors>
    <mruColors>
      <color rgb="FFFFC979"/>
      <color rgb="FFEED7AA"/>
      <color rgb="FFFFFF99"/>
      <color rgb="FF3333CC"/>
      <color rgb="FFECFFCD"/>
      <color rgb="FFFFE1E1"/>
      <color rgb="FFFFE7E7"/>
      <color rgb="FFCC3300"/>
      <color rgb="FFEFC8C8"/>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Design">
  <a:themeElements>
    <a:clrScheme name="UmweltBank">
      <a:dk1>
        <a:srgbClr val="3C3B3A"/>
      </a:dk1>
      <a:lt1>
        <a:sysClr val="window" lastClr="FFFFFF"/>
      </a:lt1>
      <a:dk2>
        <a:srgbClr val="005922"/>
      </a:dk2>
      <a:lt2>
        <a:srgbClr val="00963F"/>
      </a:lt2>
      <a:accent1>
        <a:srgbClr val="3C3B3A"/>
      </a:accent1>
      <a:accent2>
        <a:srgbClr val="EF7C00"/>
      </a:accent2>
      <a:accent3>
        <a:srgbClr val="94C11C"/>
      </a:accent3>
      <a:accent4>
        <a:srgbClr val="831D81"/>
      </a:accent4>
      <a:accent5>
        <a:srgbClr val="00C4FF"/>
      </a:accent5>
      <a:accent6>
        <a:srgbClr val="940000"/>
      </a:accent6>
      <a:hlink>
        <a:srgbClr val="75FF82"/>
      </a:hlink>
      <a:folHlink>
        <a:srgbClr val="F087B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1DDB8-72B1-49DA-981E-AC8603C97F9F}">
  <dimension ref="A1:Q46"/>
  <sheetViews>
    <sheetView tabSelected="1" zoomScale="90" zoomScaleNormal="90" workbookViewId="0">
      <selection activeCell="P14" sqref="P14"/>
    </sheetView>
  </sheetViews>
  <sheetFormatPr baseColWidth="10" defaultRowHeight="15.75" x14ac:dyDescent="0.25"/>
  <cols>
    <col min="3" max="3" width="13" customWidth="1"/>
    <col min="4" max="4" width="14.25" customWidth="1"/>
    <col min="5" max="5" width="17.25" customWidth="1"/>
    <col min="6" max="6" width="14.375" customWidth="1"/>
    <col min="7" max="7" width="14.625" customWidth="1"/>
    <col min="11" max="11" width="17.25" customWidth="1"/>
  </cols>
  <sheetData>
    <row r="1" spans="1:17" s="131" customFormat="1" ht="21" x14ac:dyDescent="0.3">
      <c r="A1" s="312" t="s">
        <v>583</v>
      </c>
      <c r="B1" s="129"/>
      <c r="C1" s="129"/>
      <c r="D1" s="130"/>
      <c r="E1" s="130"/>
      <c r="F1" s="284"/>
    </row>
    <row r="2" spans="1:17" s="131" customFormat="1" ht="18.75" x14ac:dyDescent="0.3">
      <c r="A2" s="128"/>
      <c r="B2" s="129"/>
      <c r="C2" s="129"/>
      <c r="D2" s="130"/>
      <c r="E2" s="130"/>
    </row>
    <row r="3" spans="1:17" s="132" customFormat="1" ht="33.75" customHeight="1" x14ac:dyDescent="0.3">
      <c r="A3" s="390" t="s">
        <v>571</v>
      </c>
      <c r="B3" s="401" t="s">
        <v>673</v>
      </c>
      <c r="C3" s="402"/>
      <c r="D3" s="402"/>
      <c r="E3" s="402"/>
      <c r="F3" s="402"/>
      <c r="G3" s="402"/>
      <c r="H3" s="402"/>
      <c r="I3" s="402"/>
      <c r="J3" s="402"/>
      <c r="K3" s="403"/>
    </row>
    <row r="4" spans="1:17" s="132" customFormat="1" ht="57" customHeight="1" x14ac:dyDescent="0.3">
      <c r="A4" s="379"/>
      <c r="B4" s="417" t="s">
        <v>679</v>
      </c>
      <c r="C4" s="418"/>
      <c r="D4" s="418"/>
      <c r="E4" s="418"/>
      <c r="F4" s="418"/>
      <c r="G4" s="418"/>
      <c r="H4" s="418"/>
      <c r="I4" s="418"/>
      <c r="J4" s="418"/>
      <c r="K4" s="419"/>
    </row>
    <row r="5" spans="1:17" s="132" customFormat="1" ht="19.5" customHeight="1" x14ac:dyDescent="0.3">
      <c r="A5" s="433"/>
      <c r="B5" s="434" t="s">
        <v>674</v>
      </c>
      <c r="C5" s="435"/>
      <c r="D5" s="435"/>
      <c r="E5" s="435"/>
      <c r="F5" s="435"/>
      <c r="G5" s="435"/>
      <c r="H5" s="435"/>
      <c r="I5" s="435"/>
      <c r="J5" s="435"/>
      <c r="K5" s="436"/>
    </row>
    <row r="6" spans="1:17" x14ac:dyDescent="0.25">
      <c r="B6" s="29"/>
      <c r="C6" s="30"/>
      <c r="D6" s="30"/>
      <c r="E6" s="30"/>
    </row>
    <row r="7" spans="1:17" x14ac:dyDescent="0.25">
      <c r="B7" s="29"/>
      <c r="C7" s="30"/>
      <c r="D7" s="30"/>
      <c r="E7" s="30"/>
    </row>
    <row r="8" spans="1:17" ht="16.5" thickBot="1" x14ac:dyDescent="0.3">
      <c r="B8" s="245"/>
      <c r="C8" s="246"/>
      <c r="D8" s="246"/>
      <c r="E8" s="246"/>
      <c r="F8" s="244"/>
      <c r="G8" s="244"/>
      <c r="H8" s="244"/>
      <c r="I8" s="244"/>
      <c r="J8" s="244"/>
      <c r="K8" s="244"/>
      <c r="L8" s="244"/>
    </row>
    <row r="9" spans="1:17" ht="16.5" thickBot="1" x14ac:dyDescent="0.3">
      <c r="B9" s="244"/>
      <c r="C9" s="244"/>
      <c r="D9" s="244"/>
      <c r="E9" s="247" t="s">
        <v>392</v>
      </c>
      <c r="F9" s="248">
        <f>4%</f>
        <v>0.04</v>
      </c>
      <c r="G9" s="244"/>
      <c r="H9" s="244"/>
      <c r="I9" s="244"/>
      <c r="J9" s="244"/>
      <c r="K9" s="244"/>
      <c r="L9" s="244"/>
    </row>
    <row r="10" spans="1:17" x14ac:dyDescent="0.25">
      <c r="B10" s="244"/>
      <c r="C10" s="244"/>
      <c r="D10" s="244"/>
      <c r="E10" s="249" t="s">
        <v>444</v>
      </c>
      <c r="F10" s="250">
        <v>25</v>
      </c>
      <c r="G10" s="244"/>
      <c r="H10" s="244"/>
      <c r="I10" s="244"/>
      <c r="J10" s="244"/>
      <c r="K10" s="244"/>
      <c r="L10" s="244"/>
    </row>
    <row r="11" spans="1:17" ht="16.5" thickBot="1" x14ac:dyDescent="0.3">
      <c r="B11" s="244"/>
      <c r="C11" s="244"/>
      <c r="D11" s="244"/>
      <c r="E11" s="244"/>
      <c r="F11" s="400"/>
      <c r="G11" s="400"/>
      <c r="H11" s="244"/>
      <c r="I11" s="391" t="s">
        <v>675</v>
      </c>
      <c r="J11" s="392"/>
      <c r="K11" s="392"/>
      <c r="L11" s="392"/>
      <c r="M11" s="393"/>
      <c r="N11" s="394"/>
    </row>
    <row r="12" spans="1:17" s="33" customFormat="1" ht="78.75" customHeight="1" x14ac:dyDescent="0.25">
      <c r="B12" s="355" t="s">
        <v>389</v>
      </c>
      <c r="C12" s="356" t="s">
        <v>576</v>
      </c>
      <c r="D12" s="356" t="s">
        <v>577</v>
      </c>
      <c r="E12" s="356" t="s">
        <v>578</v>
      </c>
      <c r="F12" s="356" t="s">
        <v>390</v>
      </c>
      <c r="G12" s="357" t="s">
        <v>579</v>
      </c>
      <c r="H12" s="244"/>
      <c r="I12" s="404" t="s">
        <v>680</v>
      </c>
      <c r="J12" s="405"/>
      <c r="K12" s="405"/>
      <c r="L12" s="406"/>
      <c r="M12" s="406"/>
      <c r="N12" s="407"/>
      <c r="O12"/>
      <c r="P12"/>
      <c r="Q12"/>
    </row>
    <row r="13" spans="1:17" x14ac:dyDescent="0.25">
      <c r="B13" s="358">
        <v>0</v>
      </c>
      <c r="C13" s="251">
        <f>Futterlaubstreifen!F43</f>
        <v>0</v>
      </c>
      <c r="D13" s="251">
        <f>Futterlaubstreifen!E43</f>
        <v>1559.5947478991598</v>
      </c>
      <c r="E13" s="251">
        <f>C13-D13</f>
        <v>-1559.5947478991598</v>
      </c>
      <c r="F13" s="252">
        <f>1/(1+$F$9)^B13</f>
        <v>1</v>
      </c>
      <c r="G13" s="359">
        <f>E13*F13</f>
        <v>-1559.5947478991598</v>
      </c>
      <c r="H13" s="244"/>
      <c r="I13" s="408"/>
      <c r="J13" s="409"/>
      <c r="K13" s="409"/>
      <c r="L13" s="409"/>
      <c r="M13" s="409"/>
      <c r="N13" s="410"/>
    </row>
    <row r="14" spans="1:17" x14ac:dyDescent="0.25">
      <c r="B14" s="360">
        <v>1</v>
      </c>
      <c r="C14" s="253">
        <f>Futterlaubstreifen!F57</f>
        <v>0</v>
      </c>
      <c r="D14" s="253">
        <f>Futterlaubstreifen!E57</f>
        <v>812.28621008403366</v>
      </c>
      <c r="E14" s="253">
        <f t="shared" ref="E14:E38" si="0">C14-D14</f>
        <v>-812.28621008403366</v>
      </c>
      <c r="F14" s="254">
        <f t="shared" ref="F14:F38" si="1">1/(1+$F$9)^B14</f>
        <v>0.96153846153846145</v>
      </c>
      <c r="G14" s="361">
        <f t="shared" ref="G14:G38" si="2">E14*F14</f>
        <v>-781.04443277310918</v>
      </c>
      <c r="H14" s="244"/>
      <c r="I14" s="408"/>
      <c r="J14" s="409"/>
      <c r="K14" s="409"/>
      <c r="L14" s="409"/>
      <c r="M14" s="409"/>
      <c r="N14" s="410"/>
    </row>
    <row r="15" spans="1:17" x14ac:dyDescent="0.25">
      <c r="B15" s="358">
        <v>2</v>
      </c>
      <c r="C15" s="251">
        <f>Futterlaubstreifen!F65</f>
        <v>0</v>
      </c>
      <c r="D15" s="251">
        <f>Futterlaubstreifen!E65</f>
        <v>357.63817008403362</v>
      </c>
      <c r="E15" s="251">
        <f t="shared" si="0"/>
        <v>-357.63817008403362</v>
      </c>
      <c r="F15" s="252">
        <f t="shared" si="1"/>
        <v>0.92455621301775137</v>
      </c>
      <c r="G15" s="359">
        <f t="shared" si="2"/>
        <v>-330.65659216349258</v>
      </c>
      <c r="H15" s="244"/>
      <c r="I15" s="408"/>
      <c r="J15" s="409"/>
      <c r="K15" s="409"/>
      <c r="L15" s="409"/>
      <c r="M15" s="409"/>
      <c r="N15" s="410"/>
    </row>
    <row r="16" spans="1:17" x14ac:dyDescent="0.25">
      <c r="B16" s="360">
        <v>3</v>
      </c>
      <c r="C16" s="253">
        <f>Futterlaubstreifen!F67</f>
        <v>0</v>
      </c>
      <c r="D16" s="253">
        <f>Futterlaubstreifen!E67</f>
        <v>9.7277400000000007</v>
      </c>
      <c r="E16" s="253">
        <f t="shared" si="0"/>
        <v>-9.7277400000000007</v>
      </c>
      <c r="F16" s="254">
        <f t="shared" si="1"/>
        <v>0.88899635867091487</v>
      </c>
      <c r="G16" s="361">
        <f t="shared" si="2"/>
        <v>-8.6479254380974062</v>
      </c>
      <c r="H16" s="244"/>
      <c r="I16" s="408"/>
      <c r="J16" s="409"/>
      <c r="K16" s="409"/>
      <c r="L16" s="409"/>
      <c r="M16" s="409"/>
      <c r="N16" s="410"/>
    </row>
    <row r="17" spans="2:14" x14ac:dyDescent="0.25">
      <c r="B17" s="362">
        <v>4</v>
      </c>
      <c r="C17" s="255">
        <f>Futterlaubstreifen!F69</f>
        <v>0</v>
      </c>
      <c r="D17" s="255">
        <f>Futterlaubstreifen!E69</f>
        <v>9.9222948000000013</v>
      </c>
      <c r="E17" s="255">
        <f t="shared" si="0"/>
        <v>-9.9222948000000013</v>
      </c>
      <c r="F17" s="256">
        <f t="shared" si="1"/>
        <v>0.85480419102972571</v>
      </c>
      <c r="G17" s="363">
        <f t="shared" si="2"/>
        <v>-8.4816191796724549</v>
      </c>
      <c r="H17" s="244"/>
      <c r="I17" s="408"/>
      <c r="J17" s="409"/>
      <c r="K17" s="409"/>
      <c r="L17" s="409"/>
      <c r="M17" s="409"/>
      <c r="N17" s="410"/>
    </row>
    <row r="18" spans="2:14" x14ac:dyDescent="0.25">
      <c r="B18" s="360">
        <v>5</v>
      </c>
      <c r="C18" s="253">
        <f>Futterlaubstreifen!F73</f>
        <v>42.652011741645595</v>
      </c>
      <c r="D18" s="253">
        <f>Futterlaubstreifen!E73</f>
        <v>255.95599927520001</v>
      </c>
      <c r="E18" s="253">
        <f t="shared" si="0"/>
        <v>-213.30398753355442</v>
      </c>
      <c r="F18" s="254">
        <f t="shared" si="1"/>
        <v>0.82192710675935154</v>
      </c>
      <c r="G18" s="361">
        <f t="shared" si="2"/>
        <v>-175.32032933368717</v>
      </c>
      <c r="H18" s="244"/>
      <c r="I18" s="408"/>
      <c r="J18" s="409"/>
      <c r="K18" s="409"/>
      <c r="L18" s="409"/>
      <c r="M18" s="409"/>
      <c r="N18" s="410"/>
    </row>
    <row r="19" spans="2:14" x14ac:dyDescent="0.25">
      <c r="B19" s="362">
        <v>6</v>
      </c>
      <c r="C19" s="255">
        <f>Futterlaubstreifen!F76</f>
        <v>21.965786046947482</v>
      </c>
      <c r="D19" s="255">
        <f>Futterlaubstreifen!E76</f>
        <v>109.42544840515201</v>
      </c>
      <c r="E19" s="255">
        <f t="shared" si="0"/>
        <v>-87.459662358204525</v>
      </c>
      <c r="F19" s="256">
        <f t="shared" si="1"/>
        <v>0.79031452573014571</v>
      </c>
      <c r="G19" s="363">
        <f t="shared" si="2"/>
        <v>-69.12064157714309</v>
      </c>
      <c r="H19" s="244"/>
      <c r="I19" s="408"/>
      <c r="J19" s="409"/>
      <c r="K19" s="409"/>
      <c r="L19" s="409"/>
      <c r="M19" s="409"/>
      <c r="N19" s="410"/>
    </row>
    <row r="20" spans="2:14" x14ac:dyDescent="0.25">
      <c r="B20" s="360">
        <v>7</v>
      </c>
      <c r="C20" s="253">
        <f>Futterlaubstreifen!F79</f>
        <v>22.62475962835591</v>
      </c>
      <c r="D20" s="253">
        <f>Futterlaubstreifen!E79</f>
        <v>111.61395737325503</v>
      </c>
      <c r="E20" s="253">
        <f t="shared" si="0"/>
        <v>-88.989197744899116</v>
      </c>
      <c r="F20" s="254">
        <f t="shared" si="1"/>
        <v>0.75991781320206331</v>
      </c>
      <c r="G20" s="361">
        <f t="shared" si="2"/>
        <v>-67.624476548909726</v>
      </c>
      <c r="H20" s="244"/>
      <c r="I20" s="395"/>
      <c r="J20" s="396"/>
      <c r="K20" s="396"/>
      <c r="L20" s="396"/>
      <c r="M20" s="397"/>
      <c r="N20" s="398"/>
    </row>
    <row r="21" spans="2:14" x14ac:dyDescent="0.25">
      <c r="B21" s="362">
        <v>8</v>
      </c>
      <c r="C21" s="255">
        <f>Futterlaubstreifen!F83</f>
        <v>57.928889113823118</v>
      </c>
      <c r="D21" s="255">
        <f>Futterlaubstreifen!E83</f>
        <v>265.99141807883643</v>
      </c>
      <c r="E21" s="255">
        <f t="shared" si="0"/>
        <v>-208.06252896501331</v>
      </c>
      <c r="F21" s="256">
        <f t="shared" si="1"/>
        <v>0.73069020500198378</v>
      </c>
      <c r="G21" s="363">
        <f t="shared" si="2"/>
        <v>-152.02925194267678</v>
      </c>
      <c r="H21" s="244"/>
      <c r="I21" s="404" t="s">
        <v>676</v>
      </c>
      <c r="J21" s="405"/>
      <c r="K21" s="405"/>
      <c r="L21" s="409"/>
      <c r="M21" s="409"/>
      <c r="N21" s="410"/>
    </row>
    <row r="22" spans="2:14" x14ac:dyDescent="0.25">
      <c r="B22" s="364">
        <v>9</v>
      </c>
      <c r="C22" s="257">
        <f>Futterlaubstreifen!F86</f>
        <v>29.833377893618906</v>
      </c>
      <c r="D22" s="257">
        <f>Futterlaubstreifen!E86</f>
        <v>116.12316125113455</v>
      </c>
      <c r="E22" s="257">
        <f t="shared" si="0"/>
        <v>-86.289783357515645</v>
      </c>
      <c r="F22" s="258">
        <f t="shared" si="1"/>
        <v>0.70258673557883045</v>
      </c>
      <c r="G22" s="365">
        <f t="shared" si="2"/>
        <v>-60.626057202961405</v>
      </c>
      <c r="H22" s="244"/>
      <c r="I22" s="408"/>
      <c r="J22" s="409"/>
      <c r="K22" s="409"/>
      <c r="L22" s="409"/>
      <c r="M22" s="409"/>
      <c r="N22" s="410"/>
    </row>
    <row r="23" spans="2:14" x14ac:dyDescent="0.25">
      <c r="B23" s="366">
        <v>10</v>
      </c>
      <c r="C23" s="259">
        <f>Futterlaubstreifen!F90</f>
        <v>1250.8525150612186</v>
      </c>
      <c r="D23" s="259">
        <f>Futterlaubstreifen!E90</f>
        <v>118.44562447615723</v>
      </c>
      <c r="E23" s="259">
        <f t="shared" si="0"/>
        <v>1132.4068905850613</v>
      </c>
      <c r="F23" s="260">
        <f t="shared" si="1"/>
        <v>0.67556416882579851</v>
      </c>
      <c r="G23" s="367">
        <f t="shared" si="2"/>
        <v>765.01351981070388</v>
      </c>
      <c r="H23" s="244"/>
      <c r="I23" s="408"/>
      <c r="J23" s="409"/>
      <c r="K23" s="409"/>
      <c r="L23" s="409"/>
      <c r="M23" s="409"/>
      <c r="N23" s="410"/>
    </row>
    <row r="24" spans="2:14" x14ac:dyDescent="0.25">
      <c r="B24" s="364">
        <v>11</v>
      </c>
      <c r="C24" s="257">
        <f>Futterlaubstreifen!F95</f>
        <v>1314.0730010187408</v>
      </c>
      <c r="D24" s="257">
        <f>Futterlaubstreifen!E95</f>
        <v>276.64108479660581</v>
      </c>
      <c r="E24" s="257">
        <f t="shared" si="0"/>
        <v>1037.431916222135</v>
      </c>
      <c r="F24" s="258">
        <f t="shared" si="1"/>
        <v>0.6495809315632679</v>
      </c>
      <c r="G24" s="365">
        <f t="shared" si="2"/>
        <v>673.89599057304054</v>
      </c>
      <c r="H24" s="244"/>
      <c r="I24" s="395"/>
      <c r="J24" s="396"/>
      <c r="K24" s="396"/>
      <c r="L24" s="396"/>
      <c r="M24" s="397"/>
      <c r="N24" s="398"/>
    </row>
    <row r="25" spans="2:14" x14ac:dyDescent="0.25">
      <c r="B25" s="366">
        <v>12</v>
      </c>
      <c r="C25" s="259">
        <f>Futterlaubstreifen!F99</f>
        <v>1302.140005160994</v>
      </c>
      <c r="D25" s="259">
        <f>Futterlaubstreifen!E99</f>
        <v>123.23082770499398</v>
      </c>
      <c r="E25" s="259">
        <f t="shared" si="0"/>
        <v>1178.909177456</v>
      </c>
      <c r="F25" s="260">
        <f t="shared" si="1"/>
        <v>0.62459704958006512</v>
      </c>
      <c r="G25" s="367">
        <f t="shared" si="2"/>
        <v>736.34319396187902</v>
      </c>
      <c r="H25" s="244"/>
      <c r="I25" s="411" t="s">
        <v>677</v>
      </c>
      <c r="J25" s="412"/>
      <c r="K25" s="412"/>
      <c r="L25" s="412"/>
      <c r="M25" s="409"/>
      <c r="N25" s="410"/>
    </row>
    <row r="26" spans="2:14" x14ac:dyDescent="0.25">
      <c r="B26" s="364">
        <v>13</v>
      </c>
      <c r="C26" s="257">
        <f>Futterlaubstreifen!F103</f>
        <v>1328.5725170419805</v>
      </c>
      <c r="D26" s="257">
        <f>Futterlaubstreifen!E103</f>
        <v>125.69544425909386</v>
      </c>
      <c r="E26" s="257">
        <f t="shared" si="0"/>
        <v>1202.8770727828867</v>
      </c>
      <c r="F26" s="258">
        <f t="shared" si="1"/>
        <v>0.600574086134678</v>
      </c>
      <c r="G26" s="365">
        <f t="shared" si="2"/>
        <v>722.41679871893871</v>
      </c>
      <c r="H26" s="244"/>
      <c r="I26" s="408"/>
      <c r="J26" s="409"/>
      <c r="K26" s="409"/>
      <c r="L26" s="409"/>
      <c r="M26" s="409"/>
      <c r="N26" s="410"/>
    </row>
    <row r="27" spans="2:14" x14ac:dyDescent="0.25">
      <c r="B27" s="366">
        <v>14</v>
      </c>
      <c r="C27" s="259">
        <f>Futterlaubstreifen!F108</f>
        <v>1396.8898930172199</v>
      </c>
      <c r="D27" s="259">
        <f>Futterlaubstreifen!E108</f>
        <v>287.94259631483652</v>
      </c>
      <c r="E27" s="259">
        <f t="shared" si="0"/>
        <v>1108.9472967023835</v>
      </c>
      <c r="F27" s="260">
        <f t="shared" si="1"/>
        <v>0.57747508282180582</v>
      </c>
      <c r="G27" s="367">
        <f t="shared" si="2"/>
        <v>640.38943200822655</v>
      </c>
      <c r="H27" s="244"/>
      <c r="I27" s="408"/>
      <c r="J27" s="409"/>
      <c r="K27" s="409"/>
      <c r="L27" s="409"/>
      <c r="M27" s="409"/>
      <c r="N27" s="410"/>
    </row>
    <row r="28" spans="2:14" x14ac:dyDescent="0.25">
      <c r="B28" s="364">
        <v>15</v>
      </c>
      <c r="C28" s="257">
        <f>Futterlaubstreifen!F112</f>
        <v>1390.0319679405368</v>
      </c>
      <c r="D28" s="257">
        <f>Futterlaubstreifen!E112</f>
        <v>130.77354020716123</v>
      </c>
      <c r="E28" s="257">
        <f t="shared" si="0"/>
        <v>1259.2584277333756</v>
      </c>
      <c r="F28" s="258">
        <f t="shared" si="1"/>
        <v>0.55526450271327477</v>
      </c>
      <c r="G28" s="365">
        <f t="shared" si="2"/>
        <v>699.22150466287303</v>
      </c>
      <c r="H28" s="244"/>
      <c r="I28" s="395"/>
      <c r="J28" s="396"/>
      <c r="K28" s="396"/>
      <c r="L28" s="396"/>
      <c r="M28" s="397"/>
      <c r="N28" s="398"/>
    </row>
    <row r="29" spans="2:14" x14ac:dyDescent="0.25">
      <c r="B29" s="366">
        <v>16</v>
      </c>
      <c r="C29" s="259">
        <f>Futterlaubstreifen!F116</f>
        <v>1418.328078329045</v>
      </c>
      <c r="D29" s="259">
        <f>Futterlaubstreifen!E116</f>
        <v>133.38901101130449</v>
      </c>
      <c r="E29" s="259">
        <f t="shared" si="0"/>
        <v>1284.9390673177404</v>
      </c>
      <c r="F29" s="260">
        <f t="shared" si="1"/>
        <v>0.53390817568584104</v>
      </c>
      <c r="G29" s="367">
        <f t="shared" si="2"/>
        <v>686.0394732990809</v>
      </c>
      <c r="H29" s="244"/>
      <c r="I29" s="411" t="s">
        <v>678</v>
      </c>
      <c r="J29" s="412"/>
      <c r="K29" s="412"/>
      <c r="L29" s="412"/>
      <c r="M29" s="412"/>
      <c r="N29" s="413"/>
    </row>
    <row r="30" spans="2:14" x14ac:dyDescent="0.25">
      <c r="B30" s="364">
        <v>17</v>
      </c>
      <c r="C30" s="257">
        <f>Futterlaubstreifen!F121</f>
        <v>1499.7694965967728</v>
      </c>
      <c r="D30" s="257">
        <f>Futterlaubstreifen!E121</f>
        <v>299.93585075007502</v>
      </c>
      <c r="E30" s="257">
        <f t="shared" si="0"/>
        <v>1199.8336458466979</v>
      </c>
      <c r="F30" s="258">
        <f t="shared" si="1"/>
        <v>0.51337324585177024</v>
      </c>
      <c r="G30" s="365">
        <f t="shared" si="2"/>
        <v>615.96249325048268</v>
      </c>
      <c r="H30" s="244"/>
      <c r="I30" s="411"/>
      <c r="J30" s="412"/>
      <c r="K30" s="412"/>
      <c r="L30" s="412"/>
      <c r="M30" s="412"/>
      <c r="N30" s="413"/>
    </row>
    <row r="31" spans="2:14" x14ac:dyDescent="0.25">
      <c r="B31" s="366">
        <v>18</v>
      </c>
      <c r="C31" s="259">
        <f>Futterlaubstreifen!F125</f>
        <v>1476.6747197727434</v>
      </c>
      <c r="D31" s="259">
        <f>Futterlaubstreifen!E125</f>
        <v>138.77792705616116</v>
      </c>
      <c r="E31" s="259">
        <f t="shared" si="0"/>
        <v>1337.8967927165822</v>
      </c>
      <c r="F31" s="260">
        <f t="shared" si="1"/>
        <v>0.49362812101131748</v>
      </c>
      <c r="G31" s="367">
        <f t="shared" si="2"/>
        <v>660.42347989575455</v>
      </c>
      <c r="H31" s="244"/>
      <c r="I31" s="411"/>
      <c r="J31" s="412"/>
      <c r="K31" s="412"/>
      <c r="L31" s="412"/>
      <c r="M31" s="412"/>
      <c r="N31" s="413"/>
    </row>
    <row r="32" spans="2:14" x14ac:dyDescent="0.25">
      <c r="B32" s="364">
        <v>19</v>
      </c>
      <c r="C32" s="257">
        <f>Futterlaubstreifen!F129</f>
        <v>1506.7496287400661</v>
      </c>
      <c r="D32" s="257">
        <f>Futterlaubstreifen!E129</f>
        <v>141.55348559728438</v>
      </c>
      <c r="E32" s="257">
        <f t="shared" si="0"/>
        <v>1365.1961431427817</v>
      </c>
      <c r="F32" s="258">
        <f t="shared" si="1"/>
        <v>0.47464242404934376</v>
      </c>
      <c r="G32" s="365">
        <f t="shared" si="2"/>
        <v>647.98000668410475</v>
      </c>
      <c r="H32" s="244"/>
      <c r="I32" s="414"/>
      <c r="J32" s="415"/>
      <c r="K32" s="415"/>
      <c r="L32" s="415"/>
      <c r="M32" s="415"/>
      <c r="N32" s="416"/>
    </row>
    <row r="33" spans="2:12" x14ac:dyDescent="0.25">
      <c r="B33" s="366">
        <v>20</v>
      </c>
      <c r="C33" s="259">
        <f>Futterlaubstreifen!F134</f>
        <v>1611.0232500243233</v>
      </c>
      <c r="D33" s="259">
        <f>Futterlaubstreifen!E134</f>
        <v>312.66318830278561</v>
      </c>
      <c r="E33" s="259">
        <f t="shared" si="0"/>
        <v>1298.3600617215377</v>
      </c>
      <c r="F33" s="260">
        <f t="shared" si="1"/>
        <v>0.45638694620129205</v>
      </c>
      <c r="G33" s="367">
        <f t="shared" si="2"/>
        <v>592.55458363881371</v>
      </c>
      <c r="H33" s="244"/>
      <c r="I33" s="244"/>
      <c r="J33" s="244"/>
      <c r="K33" s="244"/>
      <c r="L33" s="244"/>
    </row>
    <row r="34" spans="2:12" x14ac:dyDescent="0.25">
      <c r="B34" s="364">
        <v>21</v>
      </c>
      <c r="C34" s="257">
        <f>Futterlaubstreifen!F138</f>
        <v>1577.078794991719</v>
      </c>
      <c r="D34" s="257">
        <f>Futterlaubstreifen!E138</f>
        <v>147.27224641541468</v>
      </c>
      <c r="E34" s="257">
        <f t="shared" si="0"/>
        <v>1429.8065485763043</v>
      </c>
      <c r="F34" s="258">
        <f t="shared" si="1"/>
        <v>0.43883360211662686</v>
      </c>
      <c r="G34" s="365">
        <f t="shared" si="2"/>
        <v>627.4471580416814</v>
      </c>
      <c r="H34" s="244"/>
      <c r="I34" s="244"/>
      <c r="J34" s="244"/>
      <c r="K34" s="244"/>
      <c r="L34" s="244"/>
    </row>
    <row r="35" spans="2:12" x14ac:dyDescent="0.25">
      <c r="B35" s="366">
        <v>22</v>
      </c>
      <c r="C35" s="259">
        <f>Futterlaubstreifen!F142</f>
        <v>1609.2951220562472</v>
      </c>
      <c r="D35" s="259">
        <f>Futterlaubstreifen!E142</f>
        <v>150.21769134372298</v>
      </c>
      <c r="E35" s="259">
        <f t="shared" si="0"/>
        <v>1459.0774307125243</v>
      </c>
      <c r="F35" s="260">
        <f t="shared" si="1"/>
        <v>0.42195538665060278</v>
      </c>
      <c r="G35" s="367">
        <f t="shared" si="2"/>
        <v>615.66558142947133</v>
      </c>
      <c r="H35" s="244"/>
      <c r="I35" s="244"/>
      <c r="J35" s="244"/>
      <c r="K35" s="244"/>
      <c r="L35" s="244"/>
    </row>
    <row r="36" spans="2:12" x14ac:dyDescent="0.25">
      <c r="B36" s="364">
        <v>23</v>
      </c>
      <c r="C36" s="257">
        <f>Futterlaubstreifen!F147</f>
        <v>1713.7603692593821</v>
      </c>
      <c r="D36" s="257">
        <f>Futterlaubstreifen!E147</f>
        <v>326.16954073242243</v>
      </c>
      <c r="E36" s="257">
        <f t="shared" si="0"/>
        <v>1387.5908285269597</v>
      </c>
      <c r="F36" s="258">
        <f t="shared" si="1"/>
        <v>0.40572633331788732</v>
      </c>
      <c r="G36" s="365">
        <f t="shared" si="2"/>
        <v>562.98213900377266</v>
      </c>
      <c r="H36" s="244"/>
      <c r="I36" s="244"/>
      <c r="J36" s="244"/>
      <c r="K36" s="244"/>
      <c r="L36" s="244"/>
    </row>
    <row r="37" spans="2:12" x14ac:dyDescent="0.25">
      <c r="B37" s="366">
        <v>24</v>
      </c>
      <c r="C37" s="259">
        <f>Futterlaubstreifen!F151</f>
        <v>1675.7353820715707</v>
      </c>
      <c r="D37" s="259">
        <f>Futterlaubstreifen!E151</f>
        <v>156.28648607400936</v>
      </c>
      <c r="E37" s="259">
        <f t="shared" si="0"/>
        <v>1519.4488959975613</v>
      </c>
      <c r="F37" s="260">
        <f t="shared" si="1"/>
        <v>0.39012147434412242</v>
      </c>
      <c r="G37" s="367">
        <f t="shared" si="2"/>
        <v>592.76964349711773</v>
      </c>
      <c r="H37" s="244"/>
      <c r="I37" s="244"/>
      <c r="J37" s="244"/>
      <c r="K37" s="244"/>
      <c r="L37" s="244"/>
    </row>
    <row r="38" spans="2:12" ht="16.5" thickBot="1" x14ac:dyDescent="0.3">
      <c r="B38" s="368">
        <v>25</v>
      </c>
      <c r="C38" s="369">
        <f>Futterlaubstreifen!F155</f>
        <v>1719.3440833409832</v>
      </c>
      <c r="D38" s="369">
        <f>Futterlaubstreifen!E155</f>
        <v>159.41221579548957</v>
      </c>
      <c r="E38" s="369">
        <f t="shared" si="0"/>
        <v>1559.9318675454936</v>
      </c>
      <c r="F38" s="370">
        <f t="shared" si="1"/>
        <v>0.37511680225396377</v>
      </c>
      <c r="G38" s="371">
        <f t="shared" si="2"/>
        <v>585.15665388771936</v>
      </c>
      <c r="H38" s="244"/>
      <c r="I38" s="244"/>
      <c r="J38" s="244"/>
      <c r="K38" s="244"/>
      <c r="L38" s="244"/>
    </row>
    <row r="39" spans="2:12" ht="16.5" thickBot="1" x14ac:dyDescent="0.3">
      <c r="B39" s="372" t="s">
        <v>394</v>
      </c>
      <c r="C39" s="373">
        <f>SUM(C13:C38)</f>
        <v>23965.323648847938</v>
      </c>
      <c r="D39" s="373">
        <f t="shared" ref="D39:E39" si="3">SUM(D13:D38)</f>
        <v>6636.685908088325</v>
      </c>
      <c r="E39" s="373">
        <f t="shared" si="3"/>
        <v>17328.637740759608</v>
      </c>
      <c r="F39" s="374" t="s">
        <v>391</v>
      </c>
      <c r="G39" s="375">
        <f>SUM(G13:G38)</f>
        <v>7211.1155783047516</v>
      </c>
      <c r="H39" s="244"/>
      <c r="I39" s="244"/>
      <c r="J39" s="244"/>
      <c r="K39" s="244"/>
      <c r="L39" s="244"/>
    </row>
    <row r="40" spans="2:12" ht="16.5" thickBot="1" x14ac:dyDescent="0.3">
      <c r="B40" s="261"/>
      <c r="C40" s="261"/>
      <c r="D40" s="261"/>
      <c r="E40" s="261"/>
      <c r="F40" s="376" t="s">
        <v>393</v>
      </c>
      <c r="G40" s="377">
        <f>PMT($F$9,$F$10,-SUM(G13:G38))</f>
        <v>461.59766204726685</v>
      </c>
      <c r="H40" s="244"/>
      <c r="I40" s="244"/>
      <c r="J40" s="244"/>
      <c r="K40" s="244"/>
      <c r="L40" s="244"/>
    </row>
    <row r="41" spans="2:12" ht="54" customHeight="1" x14ac:dyDescent="0.25">
      <c r="B41" s="245"/>
      <c r="C41" s="262"/>
      <c r="D41" s="244"/>
      <c r="E41" s="244"/>
      <c r="F41" s="244"/>
      <c r="G41" s="244"/>
      <c r="H41" s="244"/>
      <c r="I41" s="399"/>
      <c r="J41" s="399"/>
      <c r="K41" s="399"/>
      <c r="L41" s="399"/>
    </row>
    <row r="42" spans="2:12" ht="19.5" customHeight="1" x14ac:dyDescent="0.25">
      <c r="B42" s="245"/>
      <c r="C42" s="262"/>
      <c r="D42" s="244"/>
      <c r="E42" s="244"/>
      <c r="F42" s="244"/>
      <c r="G42" s="244"/>
      <c r="H42" s="244"/>
      <c r="I42" s="263"/>
      <c r="J42" s="263"/>
      <c r="K42" s="263"/>
      <c r="L42" s="263"/>
    </row>
    <row r="43" spans="2:12" ht="84" customHeight="1" x14ac:dyDescent="0.25">
      <c r="B43" s="245"/>
      <c r="C43" s="262"/>
      <c r="D43" s="244"/>
      <c r="E43" s="244"/>
      <c r="F43" s="244"/>
      <c r="G43" s="244"/>
      <c r="H43" s="244"/>
      <c r="I43" s="399"/>
      <c r="J43" s="399"/>
      <c r="K43" s="399"/>
      <c r="L43" s="399"/>
    </row>
    <row r="44" spans="2:12" x14ac:dyDescent="0.25">
      <c r="B44" s="245"/>
      <c r="C44" s="262"/>
      <c r="D44" s="244"/>
      <c r="E44" s="244"/>
      <c r="F44" s="244"/>
      <c r="G44" s="244"/>
      <c r="H44" s="244"/>
      <c r="I44" s="244"/>
      <c r="J44" s="244"/>
      <c r="K44" s="244"/>
      <c r="L44" s="244"/>
    </row>
    <row r="45" spans="2:12" x14ac:dyDescent="0.25">
      <c r="B45" s="29"/>
      <c r="C45" s="31"/>
    </row>
    <row r="46" spans="2:12" x14ac:dyDescent="0.25">
      <c r="C46" s="32"/>
    </row>
  </sheetData>
  <mergeCells count="10">
    <mergeCell ref="I43:L43"/>
    <mergeCell ref="F11:G11"/>
    <mergeCell ref="I41:L41"/>
    <mergeCell ref="B3:K3"/>
    <mergeCell ref="I12:N19"/>
    <mergeCell ref="I21:N23"/>
    <mergeCell ref="I25:N27"/>
    <mergeCell ref="I29:N32"/>
    <mergeCell ref="B5:K5"/>
    <mergeCell ref="B4:K4"/>
  </mergeCells>
  <pageMargins left="0.7" right="0.7" top="0.78740157499999996" bottom="0.78740157499999996"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0E12C-08BE-409E-AA70-A278B68F6F3D}">
  <dimension ref="A1:V165"/>
  <sheetViews>
    <sheetView topLeftCell="A4" zoomScale="80" zoomScaleNormal="80" workbookViewId="0">
      <pane xSplit="1" topLeftCell="B1" activePane="topRight" state="frozen"/>
      <selection pane="topRight" activeCell="C99" sqref="C99"/>
    </sheetView>
  </sheetViews>
  <sheetFormatPr baseColWidth="10" defaultRowHeight="18.75" x14ac:dyDescent="0.25"/>
  <cols>
    <col min="1" max="1" width="7" style="55" customWidth="1"/>
    <col min="2" max="2" width="15.625" style="54" customWidth="1"/>
    <col min="3" max="3" width="15.375" style="54" customWidth="1"/>
    <col min="4" max="4" width="13.25" style="54" customWidth="1"/>
    <col min="5" max="5" width="15.125" style="55" customWidth="1"/>
    <col min="6" max="6" width="14.375" style="55" customWidth="1"/>
    <col min="7" max="7" width="17" style="36" customWidth="1"/>
    <col min="8" max="8" width="33" style="37" customWidth="1"/>
    <col min="9" max="9" width="12.75" style="36" customWidth="1"/>
    <col min="10" max="10" width="11.625" style="36" customWidth="1"/>
    <col min="11" max="11" width="12.125" style="36" customWidth="1"/>
    <col min="12" max="12" width="10.75" style="36" customWidth="1"/>
    <col min="13" max="13" width="13.125" style="36" customWidth="1"/>
    <col min="14" max="14" width="13" style="36" customWidth="1"/>
    <col min="15" max="15" width="19.25" style="36" customWidth="1"/>
    <col min="16" max="16" width="17.25" style="36" customWidth="1"/>
    <col min="17" max="17" width="16.75" style="36" customWidth="1"/>
    <col min="18" max="18" width="11" style="36"/>
    <col min="19" max="19" width="19" style="36" customWidth="1"/>
    <col min="20" max="20" width="40.375" style="36" customWidth="1"/>
    <col min="21" max="21" width="19.25" style="38" customWidth="1"/>
    <col min="22" max="22" width="19.25" style="157" customWidth="1"/>
    <col min="23" max="16384" width="11" style="36"/>
  </cols>
  <sheetData>
    <row r="1" spans="1:22" s="47" customFormat="1" x14ac:dyDescent="0.3">
      <c r="A1" s="55"/>
      <c r="B1" s="54"/>
      <c r="C1" s="54"/>
      <c r="D1" s="54"/>
      <c r="E1" s="142" t="s">
        <v>413</v>
      </c>
      <c r="F1" s="55"/>
      <c r="H1" s="48"/>
      <c r="K1" s="143" t="s">
        <v>446</v>
      </c>
      <c r="M1" s="143"/>
      <c r="U1" s="49"/>
      <c r="V1" s="157"/>
    </row>
    <row r="2" spans="1:22" s="34" customFormat="1" x14ac:dyDescent="0.3">
      <c r="A2" s="55"/>
      <c r="B2" s="55"/>
      <c r="C2" s="55"/>
      <c r="D2" s="55"/>
      <c r="E2" s="143" t="s">
        <v>447</v>
      </c>
      <c r="F2" s="55"/>
      <c r="H2" s="35"/>
      <c r="K2" s="285"/>
      <c r="L2" s="241"/>
      <c r="M2" s="286"/>
      <c r="N2" s="241"/>
      <c r="O2" s="241"/>
      <c r="P2" s="241"/>
      <c r="Q2" s="241"/>
      <c r="R2" s="241"/>
      <c r="S2" s="287"/>
      <c r="T2" s="241"/>
      <c r="U2" s="288"/>
      <c r="V2" s="158"/>
    </row>
    <row r="3" spans="1:22" s="34" customFormat="1" ht="18.75" customHeight="1" thickBot="1" x14ac:dyDescent="0.35">
      <c r="A3" s="55"/>
      <c r="B3" s="55"/>
      <c r="C3" s="55"/>
      <c r="D3" s="55"/>
      <c r="E3" s="55"/>
      <c r="H3" s="35"/>
      <c r="K3" s="285"/>
      <c r="L3" s="241"/>
      <c r="M3" s="289"/>
      <c r="N3" s="241"/>
      <c r="O3" s="241"/>
      <c r="P3" s="241"/>
      <c r="Q3" s="241"/>
      <c r="R3" s="287"/>
      <c r="S3" s="241"/>
      <c r="T3" s="241"/>
      <c r="U3" s="288"/>
      <c r="V3" s="158"/>
    </row>
    <row r="4" spans="1:22" s="34" customFormat="1" ht="19.5" thickBot="1" x14ac:dyDescent="0.35">
      <c r="A4" s="352"/>
      <c r="B4" s="144" t="s">
        <v>432</v>
      </c>
      <c r="C4" s="145"/>
      <c r="D4" s="146"/>
      <c r="E4" s="146"/>
      <c r="F4" s="143"/>
      <c r="G4" s="320" t="s">
        <v>421</v>
      </c>
      <c r="H4" s="319"/>
      <c r="K4" s="306"/>
      <c r="L4" s="241"/>
      <c r="M4" s="289"/>
      <c r="N4" s="241"/>
      <c r="O4" s="241"/>
      <c r="P4" s="241"/>
      <c r="Q4" s="241"/>
      <c r="R4" s="267"/>
      <c r="S4" s="241"/>
      <c r="T4" s="241"/>
      <c r="U4" s="288"/>
      <c r="V4" s="158"/>
    </row>
    <row r="5" spans="1:22" s="50" customFormat="1" ht="19.5" thickBot="1" x14ac:dyDescent="0.3">
      <c r="A5" s="352"/>
      <c r="B5" s="148" t="s">
        <v>433</v>
      </c>
      <c r="C5" s="149"/>
      <c r="D5" s="146"/>
      <c r="E5" s="146"/>
      <c r="F5" s="150"/>
      <c r="G5" s="321" t="s">
        <v>409</v>
      </c>
      <c r="H5" s="319"/>
      <c r="K5" s="285"/>
      <c r="L5" s="52"/>
      <c r="M5" s="289"/>
      <c r="N5" s="52"/>
      <c r="O5" s="52"/>
      <c r="P5" s="52"/>
      <c r="Q5" s="52"/>
      <c r="R5" s="267"/>
      <c r="S5" s="52"/>
      <c r="T5" s="52"/>
      <c r="U5" s="290"/>
      <c r="V5" s="157"/>
    </row>
    <row r="6" spans="1:22" s="50" customFormat="1" ht="22.5" customHeight="1" x14ac:dyDescent="0.25">
      <c r="A6" s="55"/>
      <c r="B6" s="55"/>
      <c r="C6" s="55"/>
      <c r="D6" s="55"/>
      <c r="E6" s="55"/>
      <c r="G6" s="147" t="s">
        <v>422</v>
      </c>
      <c r="H6" s="51"/>
      <c r="K6" s="285"/>
      <c r="L6" s="52"/>
      <c r="M6" s="286"/>
      <c r="N6" s="52"/>
      <c r="O6" s="52"/>
      <c r="P6" s="52"/>
      <c r="Q6" s="52"/>
      <c r="R6" s="52"/>
      <c r="S6" s="52"/>
      <c r="T6" s="52"/>
      <c r="U6" s="290"/>
      <c r="V6" s="157"/>
    </row>
    <row r="7" spans="1:22" s="50" customFormat="1" ht="22.5" customHeight="1" x14ac:dyDescent="0.25">
      <c r="A7" s="55"/>
      <c r="B7" s="55"/>
      <c r="C7" s="55"/>
      <c r="D7" s="55"/>
      <c r="E7" s="55"/>
      <c r="G7" s="151" t="s">
        <v>423</v>
      </c>
      <c r="H7" s="51"/>
      <c r="K7" s="285"/>
      <c r="L7" s="52"/>
      <c r="M7" s="286"/>
      <c r="N7" s="52"/>
      <c r="O7" s="52"/>
      <c r="P7" s="52"/>
      <c r="Q7" s="52"/>
      <c r="R7" s="52"/>
      <c r="S7" s="52"/>
      <c r="T7" s="52"/>
      <c r="U7" s="53"/>
      <c r="V7" s="157"/>
    </row>
    <row r="8" spans="1:22" s="34" customFormat="1" ht="35.25" customHeight="1" x14ac:dyDescent="0.3">
      <c r="A8" s="353"/>
      <c r="B8" s="427" t="s">
        <v>434</v>
      </c>
      <c r="C8" s="428"/>
      <c r="D8" s="105">
        <v>22</v>
      </c>
      <c r="E8" s="425" t="s">
        <v>637</v>
      </c>
      <c r="F8" s="55"/>
      <c r="G8" s="86"/>
      <c r="H8" s="35"/>
      <c r="K8" s="241"/>
      <c r="L8" s="241"/>
      <c r="M8" s="286"/>
      <c r="N8" s="241"/>
      <c r="O8" s="241"/>
      <c r="P8" s="241"/>
      <c r="Q8" s="241"/>
      <c r="R8" s="241"/>
      <c r="S8" s="241"/>
      <c r="T8" s="241"/>
      <c r="U8" s="60"/>
      <c r="V8" s="158"/>
    </row>
    <row r="9" spans="1:22" ht="40.5" customHeight="1" thickBot="1" x14ac:dyDescent="0.3">
      <c r="A9" s="353"/>
      <c r="B9" s="427" t="s">
        <v>435</v>
      </c>
      <c r="C9" s="428"/>
      <c r="D9" s="105">
        <v>13.9</v>
      </c>
      <c r="E9" s="426"/>
      <c r="K9" s="83"/>
      <c r="L9" s="84"/>
      <c r="M9" s="83"/>
      <c r="N9" s="83"/>
      <c r="O9" s="83"/>
      <c r="P9" s="84"/>
      <c r="Q9" s="84"/>
      <c r="R9" s="84"/>
      <c r="S9" s="84"/>
      <c r="U9" s="125"/>
      <c r="V9" s="159"/>
    </row>
    <row r="10" spans="1:22" ht="19.5" thickBot="1" x14ac:dyDescent="0.3">
      <c r="J10" s="420" t="s">
        <v>395</v>
      </c>
      <c r="K10" s="421"/>
      <c r="L10" s="421"/>
      <c r="M10" s="421"/>
      <c r="N10" s="421"/>
      <c r="O10" s="422"/>
      <c r="P10" s="153"/>
      <c r="Q10" s="423" t="s">
        <v>396</v>
      </c>
      <c r="R10" s="424"/>
      <c r="S10" s="424"/>
    </row>
    <row r="11" spans="1:22" s="39" customFormat="1" ht="113.25" customHeight="1" thickBot="1" x14ac:dyDescent="0.3">
      <c r="A11" s="103" t="s">
        <v>389</v>
      </c>
      <c r="B11" s="100" t="s">
        <v>426</v>
      </c>
      <c r="C11" s="100" t="s">
        <v>427</v>
      </c>
      <c r="D11" s="101" t="s">
        <v>418</v>
      </c>
      <c r="E11" s="99" t="s">
        <v>419</v>
      </c>
      <c r="F11" s="102" t="s">
        <v>420</v>
      </c>
      <c r="G11" s="139" t="s">
        <v>489</v>
      </c>
      <c r="H11" s="140" t="s">
        <v>429</v>
      </c>
      <c r="I11" s="141" t="s">
        <v>397</v>
      </c>
      <c r="J11" s="41" t="s">
        <v>498</v>
      </c>
      <c r="K11" s="152" t="s">
        <v>431</v>
      </c>
      <c r="L11" s="152" t="s">
        <v>430</v>
      </c>
      <c r="M11" s="42" t="s">
        <v>499</v>
      </c>
      <c r="N11" s="42" t="s">
        <v>500</v>
      </c>
      <c r="O11" s="43" t="s">
        <v>501</v>
      </c>
      <c r="P11" s="44" t="s">
        <v>425</v>
      </c>
      <c r="Q11" s="40" t="s">
        <v>502</v>
      </c>
      <c r="R11" s="45" t="s">
        <v>414</v>
      </c>
      <c r="S11" s="154" t="s">
        <v>438</v>
      </c>
      <c r="T11" s="74" t="s">
        <v>424</v>
      </c>
      <c r="U11" s="74" t="s">
        <v>416</v>
      </c>
      <c r="V11" s="155" t="s">
        <v>441</v>
      </c>
    </row>
    <row r="12" spans="1:22" s="46" customFormat="1" ht="233.25" customHeight="1" thickBot="1" x14ac:dyDescent="0.3">
      <c r="A12" s="314">
        <v>0</v>
      </c>
      <c r="B12" s="56"/>
      <c r="C12" s="56"/>
      <c r="D12" s="88"/>
      <c r="E12" s="90"/>
      <c r="F12" s="297"/>
      <c r="G12" s="163" t="s">
        <v>398</v>
      </c>
      <c r="H12" s="164" t="s">
        <v>509</v>
      </c>
      <c r="I12" s="165">
        <v>45667</v>
      </c>
      <c r="J12" s="166">
        <v>20</v>
      </c>
      <c r="K12" s="167">
        <v>2</v>
      </c>
      <c r="L12" s="167"/>
      <c r="M12" s="168">
        <f t="shared" ref="M12:M29" si="0">J12*K12/60</f>
        <v>0.66666666666666663</v>
      </c>
      <c r="N12" s="168">
        <f t="shared" ref="N12:N29" si="1">J12*L12/60</f>
        <v>0</v>
      </c>
      <c r="O12" s="181"/>
      <c r="P12" s="170" t="s">
        <v>399</v>
      </c>
      <c r="Q12" s="180"/>
      <c r="R12" s="167"/>
      <c r="S12" s="167"/>
      <c r="T12" s="185" t="s">
        <v>621</v>
      </c>
      <c r="U12" s="182" t="s">
        <v>591</v>
      </c>
      <c r="V12" s="160"/>
    </row>
    <row r="13" spans="1:22" s="46" customFormat="1" ht="87.75" customHeight="1" thickBot="1" x14ac:dyDescent="0.3">
      <c r="A13" s="315">
        <v>0</v>
      </c>
      <c r="B13" s="57"/>
      <c r="C13" s="57"/>
      <c r="D13" s="89"/>
      <c r="E13" s="91"/>
      <c r="F13" s="294"/>
      <c r="G13" s="163" t="s">
        <v>398</v>
      </c>
      <c r="H13" s="164" t="s">
        <v>510</v>
      </c>
      <c r="I13" s="165">
        <v>45685</v>
      </c>
      <c r="J13" s="166">
        <v>30</v>
      </c>
      <c r="K13" s="167">
        <v>2</v>
      </c>
      <c r="L13" s="167"/>
      <c r="M13" s="168">
        <f t="shared" si="0"/>
        <v>1</v>
      </c>
      <c r="N13" s="168">
        <f t="shared" si="1"/>
        <v>0</v>
      </c>
      <c r="O13" s="181"/>
      <c r="P13" s="170" t="s">
        <v>399</v>
      </c>
      <c r="Q13" s="180"/>
      <c r="R13" s="167"/>
      <c r="S13" s="167"/>
      <c r="T13" s="183"/>
      <c r="U13" s="182" t="s">
        <v>591</v>
      </c>
      <c r="V13" s="160"/>
    </row>
    <row r="14" spans="1:22" s="46" customFormat="1" ht="45.75" customHeight="1" thickBot="1" x14ac:dyDescent="0.3">
      <c r="A14" s="315">
        <v>0</v>
      </c>
      <c r="B14" s="57"/>
      <c r="C14" s="57"/>
      <c r="D14" s="89"/>
      <c r="E14" s="91"/>
      <c r="F14" s="294"/>
      <c r="G14" s="163" t="s">
        <v>398</v>
      </c>
      <c r="H14" s="164" t="s">
        <v>448</v>
      </c>
      <c r="I14" s="165">
        <v>45853</v>
      </c>
      <c r="J14" s="166">
        <v>60</v>
      </c>
      <c r="K14" s="167">
        <v>2</v>
      </c>
      <c r="L14" s="167"/>
      <c r="M14" s="168">
        <f t="shared" si="0"/>
        <v>2</v>
      </c>
      <c r="N14" s="168">
        <f t="shared" si="1"/>
        <v>0</v>
      </c>
      <c r="O14" s="181"/>
      <c r="P14" s="170" t="s">
        <v>400</v>
      </c>
      <c r="Q14" s="180"/>
      <c r="R14" s="167"/>
      <c r="S14" s="186"/>
      <c r="T14" s="183"/>
      <c r="U14" s="182" t="s">
        <v>591</v>
      </c>
      <c r="V14" s="160"/>
    </row>
    <row r="15" spans="1:22" s="46" customFormat="1" ht="30.75" thickBot="1" x14ac:dyDescent="0.3">
      <c r="A15" s="315">
        <v>0</v>
      </c>
      <c r="B15" s="57"/>
      <c r="C15" s="57"/>
      <c r="D15" s="89"/>
      <c r="E15" s="91"/>
      <c r="F15" s="294"/>
      <c r="G15" s="163" t="s">
        <v>398</v>
      </c>
      <c r="H15" s="164" t="s">
        <v>584</v>
      </c>
      <c r="I15" s="178">
        <v>45901</v>
      </c>
      <c r="J15" s="166">
        <v>30</v>
      </c>
      <c r="K15" s="167">
        <v>1</v>
      </c>
      <c r="L15" s="167"/>
      <c r="M15" s="168">
        <f t="shared" ref="M15" si="2">J15*K15/60</f>
        <v>0.5</v>
      </c>
      <c r="N15" s="168">
        <f t="shared" ref="N15" si="3">J15*L15/60</f>
        <v>0</v>
      </c>
      <c r="O15" s="181" t="s">
        <v>464</v>
      </c>
      <c r="P15" s="170"/>
      <c r="Q15" s="180"/>
      <c r="R15" s="167"/>
      <c r="S15" s="186"/>
      <c r="T15" s="183" t="s">
        <v>463</v>
      </c>
      <c r="U15" s="182" t="s">
        <v>415</v>
      </c>
      <c r="V15" s="160"/>
    </row>
    <row r="16" spans="1:22" s="46" customFormat="1" ht="57.75" customHeight="1" thickBot="1" x14ac:dyDescent="0.3">
      <c r="A16" s="315">
        <v>0</v>
      </c>
      <c r="B16" s="57"/>
      <c r="C16" s="57"/>
      <c r="D16" s="89"/>
      <c r="E16" s="91"/>
      <c r="F16" s="294"/>
      <c r="G16" s="163" t="s">
        <v>401</v>
      </c>
      <c r="H16" s="164" t="s">
        <v>451</v>
      </c>
      <c r="I16" s="165">
        <v>45950</v>
      </c>
      <c r="J16" s="166">
        <v>20</v>
      </c>
      <c r="K16" s="167">
        <v>1</v>
      </c>
      <c r="L16" s="167"/>
      <c r="M16" s="168">
        <f t="shared" si="0"/>
        <v>0.33333333333333331</v>
      </c>
      <c r="N16" s="168">
        <f t="shared" si="1"/>
        <v>0</v>
      </c>
      <c r="O16" s="169"/>
      <c r="P16" s="170" t="s">
        <v>402</v>
      </c>
      <c r="Q16" s="180"/>
      <c r="R16" s="167"/>
      <c r="S16" s="186"/>
      <c r="T16" s="183" t="s">
        <v>449</v>
      </c>
      <c r="U16" s="182" t="s">
        <v>415</v>
      </c>
      <c r="V16" s="160"/>
    </row>
    <row r="17" spans="1:22" s="46" customFormat="1" ht="72" customHeight="1" thickBot="1" x14ac:dyDescent="0.3">
      <c r="A17" s="315">
        <v>0</v>
      </c>
      <c r="B17" s="57"/>
      <c r="C17" s="57"/>
      <c r="D17" s="89"/>
      <c r="E17" s="91"/>
      <c r="F17" s="294"/>
      <c r="G17" s="163" t="s">
        <v>403</v>
      </c>
      <c r="H17" s="164" t="s">
        <v>450</v>
      </c>
      <c r="I17" s="165">
        <v>45950</v>
      </c>
      <c r="J17" s="166">
        <v>50</v>
      </c>
      <c r="K17" s="167">
        <v>1</v>
      </c>
      <c r="L17" s="167"/>
      <c r="M17" s="168">
        <f t="shared" si="0"/>
        <v>0.83333333333333337</v>
      </c>
      <c r="N17" s="168">
        <f t="shared" si="1"/>
        <v>0</v>
      </c>
      <c r="O17" s="169"/>
      <c r="P17" s="170" t="s">
        <v>402</v>
      </c>
      <c r="Q17" s="180"/>
      <c r="R17" s="167"/>
      <c r="S17" s="173"/>
      <c r="T17" s="183" t="s">
        <v>585</v>
      </c>
      <c r="U17" s="182" t="s">
        <v>415</v>
      </c>
      <c r="V17" s="160"/>
    </row>
    <row r="18" spans="1:22" s="46" customFormat="1" ht="32.25" thickBot="1" x14ac:dyDescent="0.3">
      <c r="A18" s="315">
        <v>0</v>
      </c>
      <c r="B18" s="57"/>
      <c r="C18" s="57"/>
      <c r="D18" s="89"/>
      <c r="E18" s="91"/>
      <c r="F18" s="294"/>
      <c r="G18" s="163" t="s">
        <v>417</v>
      </c>
      <c r="H18" s="164"/>
      <c r="I18" s="165"/>
      <c r="J18" s="166"/>
      <c r="K18" s="167"/>
      <c r="L18" s="167"/>
      <c r="M18" s="168">
        <f t="shared" si="0"/>
        <v>0</v>
      </c>
      <c r="N18" s="168">
        <f t="shared" si="1"/>
        <v>0</v>
      </c>
      <c r="O18" s="169"/>
      <c r="P18" s="170"/>
      <c r="Q18" s="171" t="s">
        <v>511</v>
      </c>
      <c r="R18" s="172">
        <v>20</v>
      </c>
      <c r="S18" s="173">
        <f>R18*0.95</f>
        <v>19</v>
      </c>
      <c r="T18" s="183" t="s">
        <v>453</v>
      </c>
      <c r="U18" s="182" t="s">
        <v>415</v>
      </c>
      <c r="V18" s="160"/>
    </row>
    <row r="19" spans="1:22" s="46" customFormat="1" ht="46.5" customHeight="1" thickBot="1" x14ac:dyDescent="0.3">
      <c r="A19" s="315">
        <v>0</v>
      </c>
      <c r="B19" s="57"/>
      <c r="C19" s="57"/>
      <c r="D19" s="89"/>
      <c r="E19" s="91"/>
      <c r="F19" s="294"/>
      <c r="G19" s="163" t="s">
        <v>417</v>
      </c>
      <c r="H19" s="164"/>
      <c r="I19" s="165"/>
      <c r="J19" s="166"/>
      <c r="K19" s="167"/>
      <c r="L19" s="167"/>
      <c r="M19" s="168">
        <f t="shared" si="0"/>
        <v>0</v>
      </c>
      <c r="N19" s="168">
        <f t="shared" si="1"/>
        <v>0</v>
      </c>
      <c r="O19" s="169"/>
      <c r="P19" s="170"/>
      <c r="Q19" s="171" t="s">
        <v>575</v>
      </c>
      <c r="R19" s="174">
        <v>50</v>
      </c>
      <c r="S19" s="173">
        <f>R19*2.07</f>
        <v>103.49999999999999</v>
      </c>
      <c r="T19" s="183" t="s">
        <v>454</v>
      </c>
      <c r="U19" s="182" t="s">
        <v>415</v>
      </c>
      <c r="V19" s="160"/>
    </row>
    <row r="20" spans="1:22" s="46" customFormat="1" ht="48.75" customHeight="1" thickBot="1" x14ac:dyDescent="0.3">
      <c r="A20" s="315">
        <v>0</v>
      </c>
      <c r="B20" s="57"/>
      <c r="C20" s="57"/>
      <c r="D20" s="89"/>
      <c r="E20" s="91"/>
      <c r="F20" s="294"/>
      <c r="G20" s="163" t="s">
        <v>417</v>
      </c>
      <c r="H20" s="164"/>
      <c r="I20" s="165"/>
      <c r="J20" s="166"/>
      <c r="K20" s="167"/>
      <c r="L20" s="167"/>
      <c r="M20" s="168">
        <f t="shared" si="0"/>
        <v>0</v>
      </c>
      <c r="N20" s="168">
        <f t="shared" si="1"/>
        <v>0</v>
      </c>
      <c r="O20" s="169"/>
      <c r="P20" s="170"/>
      <c r="Q20" s="171" t="s">
        <v>504</v>
      </c>
      <c r="R20" s="172">
        <v>20</v>
      </c>
      <c r="S20" s="173">
        <f t="shared" ref="S20" si="4">R20*0.95</f>
        <v>19</v>
      </c>
      <c r="T20" s="183" t="s">
        <v>453</v>
      </c>
      <c r="U20" s="182" t="s">
        <v>415</v>
      </c>
      <c r="V20" s="160"/>
    </row>
    <row r="21" spans="1:22" s="46" customFormat="1" ht="32.25" thickBot="1" x14ac:dyDescent="0.3">
      <c r="A21" s="315">
        <v>0</v>
      </c>
      <c r="B21" s="57"/>
      <c r="C21" s="57"/>
      <c r="D21" s="89"/>
      <c r="E21" s="91"/>
      <c r="F21" s="294"/>
      <c r="G21" s="163" t="s">
        <v>417</v>
      </c>
      <c r="H21" s="164"/>
      <c r="I21" s="165"/>
      <c r="J21" s="166"/>
      <c r="K21" s="167"/>
      <c r="L21" s="167"/>
      <c r="M21" s="168">
        <f t="shared" si="0"/>
        <v>0</v>
      </c>
      <c r="N21" s="168">
        <f t="shared" si="1"/>
        <v>0</v>
      </c>
      <c r="O21" s="169"/>
      <c r="P21" s="170"/>
      <c r="Q21" s="171" t="s">
        <v>505</v>
      </c>
      <c r="R21" s="174">
        <v>30</v>
      </c>
      <c r="S21" s="173">
        <f>R21*2.43</f>
        <v>72.900000000000006</v>
      </c>
      <c r="T21" s="183" t="s">
        <v>455</v>
      </c>
      <c r="U21" s="182" t="s">
        <v>415</v>
      </c>
      <c r="V21" s="160"/>
    </row>
    <row r="22" spans="1:22" s="46" customFormat="1" ht="45.75" thickBot="1" x14ac:dyDescent="0.3">
      <c r="A22" s="315">
        <v>0</v>
      </c>
      <c r="B22" s="57"/>
      <c r="C22" s="57"/>
      <c r="D22" s="89"/>
      <c r="E22" s="91"/>
      <c r="F22" s="294"/>
      <c r="G22" s="163" t="s">
        <v>417</v>
      </c>
      <c r="H22" s="164"/>
      <c r="I22" s="165"/>
      <c r="J22" s="166"/>
      <c r="K22" s="167"/>
      <c r="L22" s="167"/>
      <c r="M22" s="168">
        <f t="shared" si="0"/>
        <v>0</v>
      </c>
      <c r="N22" s="168">
        <f t="shared" si="1"/>
        <v>0</v>
      </c>
      <c r="O22" s="169"/>
      <c r="P22" s="170"/>
      <c r="Q22" s="171" t="s">
        <v>506</v>
      </c>
      <c r="R22" s="167">
        <v>60</v>
      </c>
      <c r="S22" s="173">
        <v>0</v>
      </c>
      <c r="T22" s="183" t="s">
        <v>456</v>
      </c>
      <c r="U22" s="182" t="s">
        <v>415</v>
      </c>
      <c r="V22" s="160"/>
    </row>
    <row r="23" spans="1:22" s="46" customFormat="1" ht="32.25" thickBot="1" x14ac:dyDescent="0.3">
      <c r="A23" s="315">
        <v>0</v>
      </c>
      <c r="B23" s="57"/>
      <c r="C23" s="57"/>
      <c r="D23" s="89"/>
      <c r="E23" s="91"/>
      <c r="F23" s="294"/>
      <c r="G23" s="163" t="s">
        <v>417</v>
      </c>
      <c r="H23" s="164"/>
      <c r="I23" s="165"/>
      <c r="J23" s="166"/>
      <c r="K23" s="167"/>
      <c r="L23" s="167"/>
      <c r="M23" s="168">
        <f t="shared" si="0"/>
        <v>0</v>
      </c>
      <c r="N23" s="168">
        <f t="shared" si="1"/>
        <v>0</v>
      </c>
      <c r="O23" s="169"/>
      <c r="P23" s="170"/>
      <c r="Q23" s="171" t="s">
        <v>507</v>
      </c>
      <c r="R23" s="167">
        <v>30</v>
      </c>
      <c r="S23" s="173">
        <f>R23*0.86</f>
        <v>25.8</v>
      </c>
      <c r="T23" s="184" t="s">
        <v>457</v>
      </c>
      <c r="U23" s="182" t="s">
        <v>415</v>
      </c>
      <c r="V23" s="160"/>
    </row>
    <row r="24" spans="1:22" s="46" customFormat="1" ht="48" customHeight="1" thickBot="1" x14ac:dyDescent="0.3">
      <c r="A24" s="315">
        <v>0</v>
      </c>
      <c r="B24" s="57"/>
      <c r="C24" s="57"/>
      <c r="D24" s="89"/>
      <c r="E24" s="91"/>
      <c r="F24" s="294"/>
      <c r="G24" s="163" t="s">
        <v>417</v>
      </c>
      <c r="H24" s="164"/>
      <c r="I24" s="165"/>
      <c r="J24" s="166"/>
      <c r="K24" s="167"/>
      <c r="L24" s="167"/>
      <c r="M24" s="168">
        <f t="shared" si="0"/>
        <v>0</v>
      </c>
      <c r="N24" s="168">
        <f t="shared" si="1"/>
        <v>0</v>
      </c>
      <c r="O24" s="169"/>
      <c r="P24" s="170"/>
      <c r="Q24" s="171" t="s">
        <v>452</v>
      </c>
      <c r="R24" s="167">
        <v>2</v>
      </c>
      <c r="S24" s="175">
        <f>35+18.99</f>
        <v>53.989999999999995</v>
      </c>
      <c r="T24" s="183" t="s">
        <v>458</v>
      </c>
      <c r="U24" s="182" t="s">
        <v>415</v>
      </c>
      <c r="V24" s="160"/>
    </row>
    <row r="25" spans="1:22" s="46" customFormat="1" ht="46.5" customHeight="1" thickBot="1" x14ac:dyDescent="0.3">
      <c r="A25" s="315">
        <v>0</v>
      </c>
      <c r="B25" s="57"/>
      <c r="C25" s="57"/>
      <c r="D25" s="89"/>
      <c r="E25" s="91"/>
      <c r="F25" s="294"/>
      <c r="G25" s="176" t="s">
        <v>459</v>
      </c>
      <c r="H25" s="177" t="s">
        <v>460</v>
      </c>
      <c r="I25" s="178">
        <v>45954</v>
      </c>
      <c r="J25" s="166">
        <v>75</v>
      </c>
      <c r="K25" s="167">
        <v>1</v>
      </c>
      <c r="L25" s="167"/>
      <c r="M25" s="168">
        <f t="shared" si="0"/>
        <v>1.25</v>
      </c>
      <c r="N25" s="168">
        <f t="shared" si="1"/>
        <v>0</v>
      </c>
      <c r="O25" s="169"/>
      <c r="P25" s="179" t="s">
        <v>461</v>
      </c>
      <c r="Q25" s="180"/>
      <c r="R25" s="167"/>
      <c r="S25" s="173"/>
      <c r="T25" s="135" t="s">
        <v>508</v>
      </c>
      <c r="U25" s="182" t="s">
        <v>415</v>
      </c>
      <c r="V25" s="160"/>
    </row>
    <row r="26" spans="1:22" s="296" customFormat="1" ht="142.5" customHeight="1" thickBot="1" x14ac:dyDescent="0.3">
      <c r="A26" s="315">
        <v>0</v>
      </c>
      <c r="B26" s="291"/>
      <c r="C26" s="291"/>
      <c r="D26" s="292"/>
      <c r="E26" s="293"/>
      <c r="F26" s="294"/>
      <c r="G26" s="176"/>
      <c r="H26" s="177"/>
      <c r="I26" s="178"/>
      <c r="J26" s="166"/>
      <c r="K26" s="167"/>
      <c r="L26" s="167"/>
      <c r="M26" s="168"/>
      <c r="N26" s="168"/>
      <c r="O26" s="169"/>
      <c r="P26" s="179"/>
      <c r="Q26" s="180" t="s">
        <v>602</v>
      </c>
      <c r="R26" s="167">
        <v>150</v>
      </c>
      <c r="S26" s="173">
        <f>R26*0.56/1.19</f>
        <v>70.588235294117666</v>
      </c>
      <c r="T26" s="295" t="s">
        <v>601</v>
      </c>
      <c r="U26" s="182" t="s">
        <v>415</v>
      </c>
      <c r="V26" s="160"/>
    </row>
    <row r="27" spans="1:22" s="296" customFormat="1" ht="75" customHeight="1" thickBot="1" x14ac:dyDescent="0.3">
      <c r="A27" s="315">
        <v>0</v>
      </c>
      <c r="B27" s="298"/>
      <c r="C27" s="298"/>
      <c r="D27" s="299"/>
      <c r="E27" s="300"/>
      <c r="F27" s="301"/>
      <c r="G27" s="163" t="s">
        <v>417</v>
      </c>
      <c r="H27" s="164"/>
      <c r="I27" s="165"/>
      <c r="J27" s="166"/>
      <c r="K27" s="167"/>
      <c r="L27" s="167"/>
      <c r="M27" s="168">
        <f t="shared" si="0"/>
        <v>0</v>
      </c>
      <c r="N27" s="168">
        <f t="shared" si="1"/>
        <v>0</v>
      </c>
      <c r="O27" s="181"/>
      <c r="P27" s="170"/>
      <c r="Q27" s="180" t="s">
        <v>603</v>
      </c>
      <c r="R27" s="167" t="s">
        <v>462</v>
      </c>
      <c r="S27" s="173">
        <f>47.47*2/1.19</f>
        <v>79.781512605042025</v>
      </c>
      <c r="T27" s="295" t="s">
        <v>604</v>
      </c>
      <c r="U27" s="182" t="s">
        <v>415</v>
      </c>
      <c r="V27" s="160"/>
    </row>
    <row r="28" spans="1:22" s="296" customFormat="1" ht="47.25" x14ac:dyDescent="0.25">
      <c r="A28" s="315">
        <v>0</v>
      </c>
      <c r="B28" s="298"/>
      <c r="C28" s="298"/>
      <c r="D28" s="299"/>
      <c r="E28" s="300"/>
      <c r="F28" s="301"/>
      <c r="G28" s="163" t="s">
        <v>417</v>
      </c>
      <c r="H28" s="164"/>
      <c r="I28" s="165"/>
      <c r="J28" s="166"/>
      <c r="K28" s="167"/>
      <c r="L28" s="167"/>
      <c r="M28" s="168">
        <f t="shared" si="0"/>
        <v>0</v>
      </c>
      <c r="N28" s="168">
        <f t="shared" si="1"/>
        <v>0</v>
      </c>
      <c r="O28" s="181"/>
      <c r="P28" s="170"/>
      <c r="Q28" s="180" t="s">
        <v>605</v>
      </c>
      <c r="R28" s="167">
        <v>8</v>
      </c>
      <c r="S28" s="173">
        <f>R28*4.4</f>
        <v>35.200000000000003</v>
      </c>
      <c r="T28" s="295" t="s">
        <v>624</v>
      </c>
      <c r="U28" s="182" t="s">
        <v>415</v>
      </c>
      <c r="V28" s="160"/>
    </row>
    <row r="29" spans="1:22" s="296" customFormat="1" ht="62.25" customHeight="1" x14ac:dyDescent="0.25">
      <c r="A29" s="315">
        <v>0</v>
      </c>
      <c r="B29" s="298"/>
      <c r="C29" s="298"/>
      <c r="D29" s="299"/>
      <c r="E29" s="300"/>
      <c r="F29" s="301"/>
      <c r="G29" s="322" t="s">
        <v>404</v>
      </c>
      <c r="H29" s="323" t="s">
        <v>405</v>
      </c>
      <c r="I29" s="324">
        <v>45852</v>
      </c>
      <c r="J29" s="325">
        <v>20</v>
      </c>
      <c r="K29" s="326">
        <v>1</v>
      </c>
      <c r="L29" s="326"/>
      <c r="M29" s="327">
        <f t="shared" si="0"/>
        <v>0.33333333333333331</v>
      </c>
      <c r="N29" s="327">
        <f t="shared" si="1"/>
        <v>0</v>
      </c>
      <c r="O29" s="328" t="s">
        <v>596</v>
      </c>
      <c r="P29" s="329" t="s">
        <v>622</v>
      </c>
      <c r="Q29" s="330" t="s">
        <v>428</v>
      </c>
      <c r="R29" s="331" t="s">
        <v>594</v>
      </c>
      <c r="S29" s="332">
        <f>0.33*27</f>
        <v>8.91</v>
      </c>
      <c r="T29" s="333" t="s">
        <v>595</v>
      </c>
      <c r="U29" s="333" t="s">
        <v>415</v>
      </c>
      <c r="V29" s="156"/>
    </row>
    <row r="30" spans="1:22" s="296" customFormat="1" ht="61.5" customHeight="1" x14ac:dyDescent="0.25">
      <c r="A30" s="315">
        <v>0</v>
      </c>
      <c r="B30" s="298"/>
      <c r="C30" s="298"/>
      <c r="D30" s="299"/>
      <c r="E30" s="300"/>
      <c r="F30" s="301"/>
      <c r="G30" s="322" t="s">
        <v>406</v>
      </c>
      <c r="H30" s="323" t="s">
        <v>407</v>
      </c>
      <c r="I30" s="324">
        <v>45930</v>
      </c>
      <c r="J30" s="325">
        <v>20</v>
      </c>
      <c r="K30" s="326">
        <v>1</v>
      </c>
      <c r="L30" s="326"/>
      <c r="M30" s="327">
        <f t="shared" ref="M30" si="5">J30*K30/60</f>
        <v>0.33333333333333331</v>
      </c>
      <c r="N30" s="327">
        <f t="shared" ref="N30" si="6">J30*L30/60</f>
        <v>0</v>
      </c>
      <c r="O30" s="328" t="s">
        <v>517</v>
      </c>
      <c r="P30" s="329" t="s">
        <v>408</v>
      </c>
      <c r="Q30" s="322"/>
      <c r="R30" s="334"/>
      <c r="S30" s="332"/>
      <c r="T30" s="335" t="s">
        <v>465</v>
      </c>
      <c r="U30" s="333" t="s">
        <v>415</v>
      </c>
      <c r="V30" s="156"/>
    </row>
    <row r="31" spans="1:22" s="296" customFormat="1" ht="66" customHeight="1" x14ac:dyDescent="0.25">
      <c r="A31" s="315">
        <v>0</v>
      </c>
      <c r="B31" s="302"/>
      <c r="C31" s="302"/>
      <c r="D31" s="303"/>
      <c r="E31" s="304"/>
      <c r="F31" s="305"/>
      <c r="G31" s="322" t="s">
        <v>466</v>
      </c>
      <c r="H31" s="336" t="s">
        <v>469</v>
      </c>
      <c r="I31" s="337">
        <v>45971</v>
      </c>
      <c r="J31" s="338">
        <v>65</v>
      </c>
      <c r="K31" s="326">
        <v>1</v>
      </c>
      <c r="L31" s="326"/>
      <c r="M31" s="327">
        <f t="shared" ref="M31:M42" si="7">J31*K31/60</f>
        <v>1.0833333333333333</v>
      </c>
      <c r="N31" s="327">
        <f t="shared" ref="N31:N42" si="8">J31*L31/60</f>
        <v>0</v>
      </c>
      <c r="O31" s="328" t="s">
        <v>472</v>
      </c>
      <c r="P31" s="339" t="s">
        <v>470</v>
      </c>
      <c r="Q31" s="330" t="s">
        <v>428</v>
      </c>
      <c r="R31" s="331" t="s">
        <v>594</v>
      </c>
      <c r="S31" s="332">
        <f>1*27</f>
        <v>27</v>
      </c>
      <c r="T31" s="333"/>
      <c r="U31" s="333" t="s">
        <v>415</v>
      </c>
      <c r="V31" s="156"/>
    </row>
    <row r="32" spans="1:22" s="296" customFormat="1" ht="48.75" customHeight="1" x14ac:dyDescent="0.25">
      <c r="A32" s="315">
        <v>0</v>
      </c>
      <c r="B32" s="302"/>
      <c r="C32" s="302"/>
      <c r="D32" s="303"/>
      <c r="E32" s="304"/>
      <c r="F32" s="305"/>
      <c r="G32" s="322" t="s">
        <v>467</v>
      </c>
      <c r="H32" s="336" t="s">
        <v>471</v>
      </c>
      <c r="I32" s="337">
        <v>45971</v>
      </c>
      <c r="J32" s="338">
        <v>75</v>
      </c>
      <c r="K32" s="326">
        <v>1</v>
      </c>
      <c r="L32" s="326"/>
      <c r="M32" s="327">
        <f t="shared" si="7"/>
        <v>1.25</v>
      </c>
      <c r="N32" s="327">
        <f t="shared" si="8"/>
        <v>0</v>
      </c>
      <c r="O32" s="328" t="s">
        <v>473</v>
      </c>
      <c r="P32" s="339" t="s">
        <v>474</v>
      </c>
      <c r="Q32" s="330" t="s">
        <v>428</v>
      </c>
      <c r="R32" s="331" t="s">
        <v>594</v>
      </c>
      <c r="S32" s="332">
        <f>1.25*27</f>
        <v>33.75</v>
      </c>
      <c r="T32" s="335"/>
      <c r="U32" s="333" t="s">
        <v>415</v>
      </c>
      <c r="V32" s="156"/>
    </row>
    <row r="33" spans="1:22" s="296" customFormat="1" ht="121.5" customHeight="1" x14ac:dyDescent="0.25">
      <c r="A33" s="315">
        <v>0</v>
      </c>
      <c r="B33" s="302"/>
      <c r="C33" s="302"/>
      <c r="D33" s="303"/>
      <c r="E33" s="304"/>
      <c r="F33" s="305"/>
      <c r="G33" s="322" t="s">
        <v>410</v>
      </c>
      <c r="H33" s="323" t="s">
        <v>606</v>
      </c>
      <c r="I33" s="324">
        <v>45971</v>
      </c>
      <c r="J33" s="325">
        <v>170</v>
      </c>
      <c r="K33" s="326">
        <v>1</v>
      </c>
      <c r="L33" s="326">
        <v>1</v>
      </c>
      <c r="M33" s="327">
        <f t="shared" si="7"/>
        <v>2.8333333333333335</v>
      </c>
      <c r="N33" s="327">
        <f t="shared" si="8"/>
        <v>2.8333333333333335</v>
      </c>
      <c r="O33" s="328" t="s">
        <v>607</v>
      </c>
      <c r="P33" s="329" t="s">
        <v>478</v>
      </c>
      <c r="Q33" s="330" t="s">
        <v>428</v>
      </c>
      <c r="R33" s="334" t="s">
        <v>597</v>
      </c>
      <c r="S33" s="332">
        <f>(27+35)*2.8</f>
        <v>173.6</v>
      </c>
      <c r="T33" s="335" t="s">
        <v>625</v>
      </c>
      <c r="U33" s="333" t="s">
        <v>415</v>
      </c>
      <c r="V33" s="156"/>
    </row>
    <row r="34" spans="1:22" s="296" customFormat="1" ht="72" customHeight="1" x14ac:dyDescent="0.25">
      <c r="A34" s="315">
        <v>0</v>
      </c>
      <c r="B34" s="302"/>
      <c r="C34" s="302"/>
      <c r="D34" s="303"/>
      <c r="E34" s="304"/>
      <c r="F34" s="305"/>
      <c r="G34" s="322"/>
      <c r="H34" s="323"/>
      <c r="I34" s="324"/>
      <c r="J34" s="325"/>
      <c r="K34" s="326"/>
      <c r="L34" s="326"/>
      <c r="M34" s="327"/>
      <c r="N34" s="327"/>
      <c r="O34" s="328"/>
      <c r="P34" s="329"/>
      <c r="Q34" s="322" t="s">
        <v>475</v>
      </c>
      <c r="R34" s="334" t="s">
        <v>633</v>
      </c>
      <c r="S34" s="332">
        <v>200</v>
      </c>
      <c r="T34" s="335" t="s">
        <v>627</v>
      </c>
      <c r="U34" s="333" t="s">
        <v>415</v>
      </c>
      <c r="V34" s="156"/>
    </row>
    <row r="35" spans="1:22" s="296" customFormat="1" ht="58.5" customHeight="1" x14ac:dyDescent="0.25">
      <c r="A35" s="315">
        <v>0</v>
      </c>
      <c r="B35" s="302"/>
      <c r="C35" s="302"/>
      <c r="D35" s="303"/>
      <c r="E35" s="304"/>
      <c r="F35" s="305"/>
      <c r="G35" s="322"/>
      <c r="H35" s="323"/>
      <c r="I35" s="324"/>
      <c r="J35" s="325"/>
      <c r="K35" s="326"/>
      <c r="L35" s="326"/>
      <c r="M35" s="327"/>
      <c r="N35" s="327"/>
      <c r="O35" s="328"/>
      <c r="P35" s="329"/>
      <c r="Q35" s="322" t="s">
        <v>477</v>
      </c>
      <c r="R35" s="334" t="s">
        <v>476</v>
      </c>
      <c r="S35" s="332">
        <f>2*10</f>
        <v>20</v>
      </c>
      <c r="T35" s="335" t="s">
        <v>626</v>
      </c>
      <c r="U35" s="333" t="s">
        <v>415</v>
      </c>
      <c r="V35" s="156"/>
    </row>
    <row r="36" spans="1:22" s="46" customFormat="1" ht="76.5" customHeight="1" x14ac:dyDescent="0.25">
      <c r="A36" s="315">
        <v>0</v>
      </c>
      <c r="B36" s="92"/>
      <c r="C36" s="92"/>
      <c r="D36" s="93"/>
      <c r="E36" s="94"/>
      <c r="F36" s="137"/>
      <c r="G36" s="322" t="s">
        <v>468</v>
      </c>
      <c r="H36" s="323" t="s">
        <v>479</v>
      </c>
      <c r="I36" s="337">
        <v>45977</v>
      </c>
      <c r="J36" s="338">
        <v>15</v>
      </c>
      <c r="K36" s="326">
        <v>1</v>
      </c>
      <c r="L36" s="326">
        <v>1</v>
      </c>
      <c r="M36" s="327">
        <f t="shared" si="7"/>
        <v>0.25</v>
      </c>
      <c r="N36" s="327">
        <f t="shared" si="8"/>
        <v>0.25</v>
      </c>
      <c r="O36" s="328"/>
      <c r="P36" s="329" t="s">
        <v>480</v>
      </c>
      <c r="Q36" s="322" t="s">
        <v>481</v>
      </c>
      <c r="R36" s="334" t="s">
        <v>482</v>
      </c>
      <c r="S36" s="332">
        <f>3</f>
        <v>3</v>
      </c>
      <c r="T36" s="335" t="s">
        <v>628</v>
      </c>
      <c r="U36" s="333" t="s">
        <v>415</v>
      </c>
      <c r="V36" s="156"/>
    </row>
    <row r="37" spans="1:22" s="46" customFormat="1" ht="102" customHeight="1" x14ac:dyDescent="0.25">
      <c r="A37" s="315">
        <v>0</v>
      </c>
      <c r="B37" s="92"/>
      <c r="C37" s="92"/>
      <c r="D37" s="93"/>
      <c r="E37" s="94"/>
      <c r="F37" s="137"/>
      <c r="G37" s="322" t="s">
        <v>586</v>
      </c>
      <c r="H37" s="323" t="s">
        <v>483</v>
      </c>
      <c r="I37" s="337">
        <v>45978</v>
      </c>
      <c r="J37" s="340">
        <v>30</v>
      </c>
      <c r="K37" s="326">
        <v>1</v>
      </c>
      <c r="L37" s="326">
        <v>1</v>
      </c>
      <c r="M37" s="327">
        <f t="shared" si="7"/>
        <v>0.5</v>
      </c>
      <c r="N37" s="327">
        <f t="shared" si="8"/>
        <v>0.5</v>
      </c>
      <c r="O37" s="328"/>
      <c r="P37" s="329" t="s">
        <v>480</v>
      </c>
      <c r="Q37" s="322"/>
      <c r="R37" s="334"/>
      <c r="S37" s="332"/>
      <c r="T37" s="335"/>
      <c r="U37" s="333" t="s">
        <v>415</v>
      </c>
      <c r="V37" s="156"/>
    </row>
    <row r="38" spans="1:22" s="46" customFormat="1" ht="120" customHeight="1" x14ac:dyDescent="0.25">
      <c r="A38" s="315">
        <v>0</v>
      </c>
      <c r="B38" s="92"/>
      <c r="C38" s="92"/>
      <c r="D38" s="93"/>
      <c r="E38" s="94"/>
      <c r="F38" s="137"/>
      <c r="G38" s="322" t="s">
        <v>484</v>
      </c>
      <c r="H38" s="323" t="s">
        <v>587</v>
      </c>
      <c r="I38" s="337">
        <v>45978</v>
      </c>
      <c r="J38" s="340">
        <v>15</v>
      </c>
      <c r="K38" s="326">
        <v>1</v>
      </c>
      <c r="L38" s="326">
        <v>1</v>
      </c>
      <c r="M38" s="327">
        <f t="shared" si="7"/>
        <v>0.25</v>
      </c>
      <c r="N38" s="327">
        <f t="shared" si="8"/>
        <v>0.25</v>
      </c>
      <c r="O38" s="328"/>
      <c r="P38" s="329" t="s">
        <v>520</v>
      </c>
      <c r="Q38" s="322" t="s">
        <v>428</v>
      </c>
      <c r="R38" s="334" t="s">
        <v>598</v>
      </c>
      <c r="S38" s="332">
        <f>35*0.25</f>
        <v>8.75</v>
      </c>
      <c r="T38" s="335" t="s">
        <v>521</v>
      </c>
      <c r="U38" s="333" t="s">
        <v>415</v>
      </c>
      <c r="V38" s="156"/>
    </row>
    <row r="39" spans="1:22" s="46" customFormat="1" ht="96.75" customHeight="1" x14ac:dyDescent="0.25">
      <c r="A39" s="315">
        <v>0</v>
      </c>
      <c r="B39" s="92"/>
      <c r="C39" s="92"/>
      <c r="D39" s="93"/>
      <c r="E39" s="94"/>
      <c r="F39" s="137"/>
      <c r="G39" s="322" t="s">
        <v>410</v>
      </c>
      <c r="H39" s="323" t="s">
        <v>485</v>
      </c>
      <c r="I39" s="337">
        <v>45987</v>
      </c>
      <c r="J39" s="325">
        <v>60</v>
      </c>
      <c r="K39" s="326">
        <v>1</v>
      </c>
      <c r="L39" s="326"/>
      <c r="M39" s="327">
        <f t="shared" si="7"/>
        <v>1</v>
      </c>
      <c r="N39" s="327">
        <f t="shared" si="8"/>
        <v>0</v>
      </c>
      <c r="O39" s="328"/>
      <c r="P39" s="329" t="s">
        <v>486</v>
      </c>
      <c r="Q39" s="341" t="s">
        <v>487</v>
      </c>
      <c r="R39" s="334" t="s">
        <v>635</v>
      </c>
      <c r="S39" s="332">
        <v>10</v>
      </c>
      <c r="T39" s="342" t="s">
        <v>636</v>
      </c>
      <c r="U39" s="333" t="s">
        <v>415</v>
      </c>
      <c r="V39" s="156"/>
    </row>
    <row r="40" spans="1:22" s="46" customFormat="1" ht="127.5" customHeight="1" x14ac:dyDescent="0.25">
      <c r="A40" s="315">
        <v>0</v>
      </c>
      <c r="B40" s="92"/>
      <c r="C40" s="92"/>
      <c r="D40" s="93"/>
      <c r="E40" s="94"/>
      <c r="F40" s="137"/>
      <c r="G40" s="343" t="s">
        <v>488</v>
      </c>
      <c r="H40" s="323" t="s">
        <v>490</v>
      </c>
      <c r="I40" s="324"/>
      <c r="J40" s="325">
        <v>100</v>
      </c>
      <c r="K40" s="326">
        <v>1</v>
      </c>
      <c r="L40" s="326">
        <v>1</v>
      </c>
      <c r="M40" s="327">
        <f t="shared" si="7"/>
        <v>1.6666666666666667</v>
      </c>
      <c r="N40" s="327">
        <f t="shared" si="8"/>
        <v>1.6666666666666667</v>
      </c>
      <c r="O40" s="328" t="s">
        <v>517</v>
      </c>
      <c r="P40" s="329" t="s">
        <v>491</v>
      </c>
      <c r="Q40" s="322" t="s">
        <v>492</v>
      </c>
      <c r="R40" s="334" t="s">
        <v>440</v>
      </c>
      <c r="S40" s="332"/>
      <c r="T40" s="335" t="s">
        <v>493</v>
      </c>
      <c r="U40" s="333" t="s">
        <v>415</v>
      </c>
      <c r="V40" s="156"/>
    </row>
    <row r="41" spans="1:22" s="46" customFormat="1" ht="84" customHeight="1" x14ac:dyDescent="0.25">
      <c r="A41" s="315">
        <v>0</v>
      </c>
      <c r="B41" s="92"/>
      <c r="C41" s="92"/>
      <c r="D41" s="93"/>
      <c r="E41" s="94"/>
      <c r="F41" s="137"/>
      <c r="G41" s="343" t="s">
        <v>409</v>
      </c>
      <c r="H41" s="344" t="s">
        <v>503</v>
      </c>
      <c r="I41" s="337">
        <v>45993</v>
      </c>
      <c r="J41" s="325">
        <v>215</v>
      </c>
      <c r="K41" s="326">
        <v>1</v>
      </c>
      <c r="L41" s="326">
        <v>1</v>
      </c>
      <c r="M41" s="327">
        <f t="shared" si="7"/>
        <v>3.5833333333333335</v>
      </c>
      <c r="N41" s="327">
        <f t="shared" si="8"/>
        <v>3.5833333333333335</v>
      </c>
      <c r="O41" s="328" t="s">
        <v>519</v>
      </c>
      <c r="P41" s="345" t="s">
        <v>495</v>
      </c>
      <c r="Q41" s="322" t="s">
        <v>492</v>
      </c>
      <c r="R41" s="334" t="s">
        <v>440</v>
      </c>
      <c r="S41" s="332"/>
      <c r="T41" s="335"/>
      <c r="U41" s="333" t="s">
        <v>415</v>
      </c>
      <c r="V41" s="156"/>
    </row>
    <row r="42" spans="1:22" s="46" customFormat="1" ht="79.5" customHeight="1" thickBot="1" x14ac:dyDescent="0.3">
      <c r="A42" s="315">
        <v>0</v>
      </c>
      <c r="B42" s="92"/>
      <c r="C42" s="92"/>
      <c r="D42" s="93"/>
      <c r="E42" s="94"/>
      <c r="F42" s="137"/>
      <c r="G42" s="343" t="s">
        <v>409</v>
      </c>
      <c r="H42" s="344" t="s">
        <v>494</v>
      </c>
      <c r="I42" s="337">
        <v>45994</v>
      </c>
      <c r="J42" s="325">
        <v>60</v>
      </c>
      <c r="K42" s="326">
        <v>1</v>
      </c>
      <c r="L42" s="326">
        <v>1</v>
      </c>
      <c r="M42" s="327">
        <f t="shared" si="7"/>
        <v>1</v>
      </c>
      <c r="N42" s="327">
        <f t="shared" si="8"/>
        <v>1</v>
      </c>
      <c r="O42" s="328" t="s">
        <v>519</v>
      </c>
      <c r="P42" s="345" t="s">
        <v>495</v>
      </c>
      <c r="Q42" s="322" t="s">
        <v>496</v>
      </c>
      <c r="R42" s="334" t="s">
        <v>440</v>
      </c>
      <c r="S42" s="332"/>
      <c r="T42" s="335" t="s">
        <v>497</v>
      </c>
      <c r="U42" s="333" t="s">
        <v>415</v>
      </c>
      <c r="V42" s="156"/>
    </row>
    <row r="43" spans="1:22" s="46" customFormat="1" ht="33" customHeight="1" thickBot="1" x14ac:dyDescent="0.3">
      <c r="A43" s="104">
        <v>0</v>
      </c>
      <c r="B43" s="96">
        <f>SUM(M12:M42)*D8</f>
        <v>454.66666666666663</v>
      </c>
      <c r="C43" s="96">
        <f>SUM(N12:N42)*D9</f>
        <v>140.15833333333333</v>
      </c>
      <c r="D43" s="97">
        <f>SUM(S12:S42)</f>
        <v>964.76974789915971</v>
      </c>
      <c r="E43" s="98">
        <f>SUM(B43:D43)</f>
        <v>1559.5947478991598</v>
      </c>
      <c r="F43" s="138">
        <f>SUM(V12:V42)</f>
        <v>0</v>
      </c>
      <c r="G43" s="87"/>
      <c r="H43" s="61"/>
      <c r="I43" s="62"/>
      <c r="J43" s="63"/>
      <c r="K43" s="64"/>
      <c r="L43" s="64"/>
      <c r="M43" s="64"/>
      <c r="N43" s="64"/>
      <c r="O43" s="65"/>
      <c r="P43" s="66"/>
      <c r="Q43" s="67"/>
      <c r="R43" s="68"/>
      <c r="S43" s="69"/>
      <c r="T43" s="70"/>
      <c r="U43" s="71"/>
      <c r="V43" s="156"/>
    </row>
    <row r="44" spans="1:22" s="296" customFormat="1" ht="94.5" x14ac:dyDescent="0.25">
      <c r="A44" s="315">
        <v>1</v>
      </c>
      <c r="B44" s="307"/>
      <c r="C44" s="307"/>
      <c r="D44" s="307"/>
      <c r="E44" s="308"/>
      <c r="F44" s="309"/>
      <c r="G44" s="343" t="s">
        <v>409</v>
      </c>
      <c r="H44" s="344" t="s">
        <v>512</v>
      </c>
      <c r="I44" s="337">
        <v>46028</v>
      </c>
      <c r="J44" s="325">
        <v>85</v>
      </c>
      <c r="K44" s="326">
        <v>1</v>
      </c>
      <c r="L44" s="326">
        <v>2</v>
      </c>
      <c r="M44" s="327">
        <f t="shared" ref="M44:M45" si="9">J44*K44/60</f>
        <v>1.4166666666666667</v>
      </c>
      <c r="N44" s="327">
        <f t="shared" ref="N44:N45" si="10">J44*L44/60</f>
        <v>2.8333333333333335</v>
      </c>
      <c r="O44" s="328" t="s">
        <v>518</v>
      </c>
      <c r="P44" s="345" t="s">
        <v>513</v>
      </c>
      <c r="Q44" s="341" t="s">
        <v>514</v>
      </c>
      <c r="R44" s="334" t="s">
        <v>440</v>
      </c>
      <c r="S44" s="332"/>
      <c r="T44" s="346"/>
      <c r="U44" s="333" t="s">
        <v>415</v>
      </c>
      <c r="V44" s="156"/>
    </row>
    <row r="45" spans="1:22" s="296" customFormat="1" ht="94.5" customHeight="1" x14ac:dyDescent="0.25">
      <c r="A45" s="315">
        <v>1</v>
      </c>
      <c r="B45" s="298"/>
      <c r="C45" s="298"/>
      <c r="D45" s="298"/>
      <c r="E45" s="310"/>
      <c r="F45" s="301"/>
      <c r="G45" s="343" t="s">
        <v>409</v>
      </c>
      <c r="H45" s="344" t="s">
        <v>515</v>
      </c>
      <c r="I45" s="337">
        <v>46028</v>
      </c>
      <c r="J45" s="325">
        <v>50</v>
      </c>
      <c r="K45" s="326">
        <v>1</v>
      </c>
      <c r="L45" s="326">
        <v>1</v>
      </c>
      <c r="M45" s="327">
        <f t="shared" si="9"/>
        <v>0.83333333333333337</v>
      </c>
      <c r="N45" s="327">
        <f t="shared" si="10"/>
        <v>0.83333333333333337</v>
      </c>
      <c r="O45" s="328" t="s">
        <v>518</v>
      </c>
      <c r="P45" s="345" t="s">
        <v>513</v>
      </c>
      <c r="Q45" s="341" t="s">
        <v>514</v>
      </c>
      <c r="R45" s="334" t="s">
        <v>440</v>
      </c>
      <c r="S45" s="332"/>
      <c r="T45" s="333"/>
      <c r="U45" s="333" t="s">
        <v>415</v>
      </c>
      <c r="V45" s="156"/>
    </row>
    <row r="46" spans="1:22" s="296" customFormat="1" ht="153" customHeight="1" x14ac:dyDescent="0.25">
      <c r="A46" s="315">
        <v>1</v>
      </c>
      <c r="B46" s="298"/>
      <c r="C46" s="298"/>
      <c r="D46" s="298"/>
      <c r="E46" s="310"/>
      <c r="F46" s="301"/>
      <c r="G46" s="343" t="s">
        <v>409</v>
      </c>
      <c r="H46" s="323" t="s">
        <v>516</v>
      </c>
      <c r="I46" s="337">
        <v>46029</v>
      </c>
      <c r="J46" s="325">
        <v>120</v>
      </c>
      <c r="K46" s="326">
        <v>2</v>
      </c>
      <c r="L46" s="326">
        <v>3</v>
      </c>
      <c r="M46" s="327">
        <f t="shared" ref="M46:M48" si="11">J46*K46/60</f>
        <v>4</v>
      </c>
      <c r="N46" s="327">
        <f t="shared" ref="N46:N48" si="12">J46*L46/60</f>
        <v>6</v>
      </c>
      <c r="O46" s="328" t="s">
        <v>517</v>
      </c>
      <c r="P46" s="345" t="s">
        <v>513</v>
      </c>
      <c r="Q46" s="341" t="s">
        <v>514</v>
      </c>
      <c r="R46" s="334" t="s">
        <v>440</v>
      </c>
      <c r="S46" s="332"/>
      <c r="T46" s="347"/>
      <c r="U46" s="333" t="s">
        <v>415</v>
      </c>
      <c r="V46" s="127"/>
    </row>
    <row r="47" spans="1:22" s="296" customFormat="1" ht="107.25" customHeight="1" x14ac:dyDescent="0.25">
      <c r="A47" s="315">
        <v>1</v>
      </c>
      <c r="B47" s="298"/>
      <c r="C47" s="298"/>
      <c r="D47" s="298"/>
      <c r="E47" s="310"/>
      <c r="F47" s="301"/>
      <c r="G47" s="343" t="s">
        <v>409</v>
      </c>
      <c r="H47" s="348" t="s">
        <v>524</v>
      </c>
      <c r="I47" s="337">
        <v>46086</v>
      </c>
      <c r="J47" s="338">
        <v>60</v>
      </c>
      <c r="K47" s="326">
        <v>1</v>
      </c>
      <c r="L47" s="326">
        <v>2</v>
      </c>
      <c r="M47" s="327">
        <f t="shared" si="11"/>
        <v>1</v>
      </c>
      <c r="N47" s="327">
        <f t="shared" si="12"/>
        <v>2</v>
      </c>
      <c r="O47" s="328" t="s">
        <v>473</v>
      </c>
      <c r="P47" s="345" t="s">
        <v>523</v>
      </c>
      <c r="Q47" s="341" t="s">
        <v>522</v>
      </c>
      <c r="R47" s="334" t="s">
        <v>440</v>
      </c>
      <c r="S47" s="332"/>
      <c r="T47" s="347" t="s">
        <v>629</v>
      </c>
      <c r="U47" s="333" t="s">
        <v>415</v>
      </c>
      <c r="V47" s="127"/>
    </row>
    <row r="48" spans="1:22" s="296" customFormat="1" ht="58.5" customHeight="1" x14ac:dyDescent="0.25">
      <c r="A48" s="315">
        <v>1</v>
      </c>
      <c r="B48" s="298"/>
      <c r="C48" s="298"/>
      <c r="D48" s="298"/>
      <c r="E48" s="310"/>
      <c r="F48" s="301"/>
      <c r="G48" s="343"/>
      <c r="H48" s="336"/>
      <c r="I48" s="337"/>
      <c r="J48" s="349"/>
      <c r="K48" s="326"/>
      <c r="L48" s="326"/>
      <c r="M48" s="327">
        <f t="shared" si="11"/>
        <v>0</v>
      </c>
      <c r="N48" s="327">
        <f t="shared" si="12"/>
        <v>0</v>
      </c>
      <c r="O48" s="328"/>
      <c r="P48" s="329"/>
      <c r="Q48" s="322" t="s">
        <v>428</v>
      </c>
      <c r="R48" s="334" t="s">
        <v>598</v>
      </c>
      <c r="S48" s="332">
        <f>35</f>
        <v>35</v>
      </c>
      <c r="T48" s="333"/>
      <c r="U48" s="333" t="s">
        <v>415</v>
      </c>
      <c r="V48" s="156"/>
    </row>
    <row r="49" spans="1:22" s="296" customFormat="1" ht="58.5" customHeight="1" x14ac:dyDescent="0.25">
      <c r="A49" s="315">
        <v>1</v>
      </c>
      <c r="B49" s="298"/>
      <c r="C49" s="298"/>
      <c r="D49" s="298"/>
      <c r="E49" s="310"/>
      <c r="F49" s="301"/>
      <c r="G49" s="343" t="s">
        <v>665</v>
      </c>
      <c r="H49" s="336" t="s">
        <v>669</v>
      </c>
      <c r="I49" s="389" t="s">
        <v>666</v>
      </c>
      <c r="J49" s="349">
        <v>60</v>
      </c>
      <c r="K49" s="326">
        <v>1</v>
      </c>
      <c r="L49" s="326"/>
      <c r="M49" s="327">
        <f t="shared" ref="M49" si="13">J49*K49/60</f>
        <v>1</v>
      </c>
      <c r="N49" s="327">
        <f t="shared" ref="N49" si="14">J49*L49/60</f>
        <v>0</v>
      </c>
      <c r="O49" s="328" t="s">
        <v>667</v>
      </c>
      <c r="P49" s="329" t="s">
        <v>668</v>
      </c>
      <c r="Q49" s="322" t="s">
        <v>670</v>
      </c>
      <c r="R49" s="334" t="s">
        <v>671</v>
      </c>
      <c r="S49" s="332">
        <f>133.2/5*0.2</f>
        <v>5.3279999999999994</v>
      </c>
      <c r="T49" s="333" t="s">
        <v>672</v>
      </c>
      <c r="U49" s="333"/>
      <c r="V49" s="156"/>
    </row>
    <row r="50" spans="1:22" s="46" customFormat="1" ht="60" x14ac:dyDescent="0.25">
      <c r="A50" s="315">
        <v>1</v>
      </c>
      <c r="B50" s="58"/>
      <c r="C50" s="58"/>
      <c r="D50" s="58"/>
      <c r="E50" s="59"/>
      <c r="F50" s="136"/>
      <c r="G50" s="343" t="s">
        <v>525</v>
      </c>
      <c r="H50" s="350" t="s">
        <v>526</v>
      </c>
      <c r="I50" s="351">
        <v>46112</v>
      </c>
      <c r="J50" s="349">
        <v>150</v>
      </c>
      <c r="K50" s="326">
        <v>1</v>
      </c>
      <c r="L50" s="326">
        <v>1</v>
      </c>
      <c r="M50" s="327">
        <f t="shared" ref="M50:M51" si="15">J50*K50/60</f>
        <v>2.5</v>
      </c>
      <c r="N50" s="327">
        <f t="shared" ref="N50:N51" si="16">J50*L50/60</f>
        <v>2.5</v>
      </c>
      <c r="O50" s="328"/>
      <c r="P50" s="329" t="s">
        <v>527</v>
      </c>
      <c r="Q50" s="322" t="s">
        <v>428</v>
      </c>
      <c r="R50" s="334" t="s">
        <v>598</v>
      </c>
      <c r="S50" s="332">
        <f>35</f>
        <v>35</v>
      </c>
      <c r="T50" s="335"/>
      <c r="U50" s="333" t="s">
        <v>415</v>
      </c>
      <c r="V50" s="156"/>
    </row>
    <row r="51" spans="1:22" s="46" customFormat="1" ht="103.5" customHeight="1" x14ac:dyDescent="0.25">
      <c r="A51" s="316">
        <v>1</v>
      </c>
      <c r="B51" s="58"/>
      <c r="C51" s="58"/>
      <c r="D51" s="58"/>
      <c r="E51" s="59"/>
      <c r="F51" s="136"/>
      <c r="G51" s="227" t="s">
        <v>588</v>
      </c>
      <c r="H51" s="229" t="s">
        <v>540</v>
      </c>
      <c r="I51" s="187">
        <v>2026</v>
      </c>
      <c r="J51" s="225">
        <v>60</v>
      </c>
      <c r="K51" s="119">
        <v>1</v>
      </c>
      <c r="L51" s="119">
        <v>1</v>
      </c>
      <c r="M51" s="188">
        <f t="shared" si="15"/>
        <v>1</v>
      </c>
      <c r="N51" s="188">
        <f t="shared" si="16"/>
        <v>1</v>
      </c>
      <c r="O51" s="82" t="s">
        <v>528</v>
      </c>
      <c r="P51" s="120" t="s">
        <v>529</v>
      </c>
      <c r="Q51" s="111" t="s">
        <v>531</v>
      </c>
      <c r="R51" s="112" t="s">
        <v>530</v>
      </c>
      <c r="S51" s="113">
        <f>75/1.19</f>
        <v>63.025210084033617</v>
      </c>
      <c r="T51" s="114"/>
      <c r="U51" s="189" t="s">
        <v>591</v>
      </c>
      <c r="V51" s="127"/>
    </row>
    <row r="52" spans="1:22" s="46" customFormat="1" ht="45" x14ac:dyDescent="0.25">
      <c r="A52" s="316">
        <v>1</v>
      </c>
      <c r="B52" s="58"/>
      <c r="C52" s="58"/>
      <c r="D52" s="58"/>
      <c r="E52" s="59"/>
      <c r="F52" s="136"/>
      <c r="G52" s="228"/>
      <c r="H52" s="229"/>
      <c r="I52" s="187">
        <v>2026</v>
      </c>
      <c r="J52" s="226"/>
      <c r="K52" s="119"/>
      <c r="L52" s="119"/>
      <c r="M52" s="188">
        <f t="shared" ref="M52:M53" si="17">J52*K52/60</f>
        <v>0</v>
      </c>
      <c r="N52" s="188">
        <f t="shared" ref="N52:N53" si="18">J52*L52/60</f>
        <v>0</v>
      </c>
      <c r="O52" s="82"/>
      <c r="P52" s="120"/>
      <c r="Q52" s="191" t="s">
        <v>428</v>
      </c>
      <c r="R52" s="112" t="s">
        <v>599</v>
      </c>
      <c r="S52" s="113">
        <f>87</f>
        <v>87</v>
      </c>
      <c r="T52" s="114"/>
      <c r="U52" s="75" t="s">
        <v>415</v>
      </c>
      <c r="V52" s="156"/>
    </row>
    <row r="53" spans="1:22" s="46" customFormat="1" ht="116.25" customHeight="1" x14ac:dyDescent="0.25">
      <c r="A53" s="316">
        <v>1</v>
      </c>
      <c r="B53" s="58"/>
      <c r="C53" s="58"/>
      <c r="D53" s="58"/>
      <c r="E53" s="59"/>
      <c r="F53" s="136"/>
      <c r="G53" s="191" t="s">
        <v>411</v>
      </c>
      <c r="H53" s="229" t="s">
        <v>532</v>
      </c>
      <c r="I53" s="187">
        <v>2026</v>
      </c>
      <c r="J53" s="226">
        <v>120</v>
      </c>
      <c r="K53" s="119">
        <v>1</v>
      </c>
      <c r="L53" s="119"/>
      <c r="M53" s="188">
        <f t="shared" si="17"/>
        <v>2</v>
      </c>
      <c r="N53" s="188">
        <f t="shared" si="18"/>
        <v>0</v>
      </c>
      <c r="O53" s="82" t="s">
        <v>436</v>
      </c>
      <c r="P53" s="120" t="s">
        <v>533</v>
      </c>
      <c r="Q53" s="111" t="s">
        <v>412</v>
      </c>
      <c r="R53" s="112" t="s">
        <v>539</v>
      </c>
      <c r="S53" s="113">
        <v>0</v>
      </c>
      <c r="T53" s="114" t="s">
        <v>590</v>
      </c>
      <c r="U53" s="189" t="s">
        <v>591</v>
      </c>
      <c r="V53" s="223"/>
    </row>
    <row r="54" spans="1:22" s="39" customFormat="1" x14ac:dyDescent="0.25">
      <c r="A54" s="316">
        <v>1</v>
      </c>
      <c r="B54" s="58"/>
      <c r="C54" s="58"/>
      <c r="D54" s="58"/>
      <c r="E54" s="59"/>
      <c r="F54" s="136"/>
      <c r="G54" s="122"/>
      <c r="H54" s="72"/>
      <c r="I54" s="187">
        <v>2026</v>
      </c>
      <c r="J54" s="115"/>
      <c r="K54" s="116"/>
      <c r="L54" s="116"/>
      <c r="M54" s="188"/>
      <c r="N54" s="188"/>
      <c r="O54" s="82"/>
      <c r="P54" s="189"/>
      <c r="Q54" s="111" t="s">
        <v>428</v>
      </c>
      <c r="R54" s="112" t="s">
        <v>594</v>
      </c>
      <c r="S54" s="113">
        <f>M53*27</f>
        <v>54</v>
      </c>
      <c r="T54" s="114"/>
      <c r="U54" s="75" t="s">
        <v>415</v>
      </c>
      <c r="V54" s="156"/>
    </row>
    <row r="55" spans="1:22" s="39" customFormat="1" ht="78" customHeight="1" x14ac:dyDescent="0.25">
      <c r="A55" s="316">
        <v>1</v>
      </c>
      <c r="B55" s="92"/>
      <c r="C55" s="92"/>
      <c r="D55" s="92"/>
      <c r="E55" s="106"/>
      <c r="F55" s="137"/>
      <c r="G55" s="122" t="s">
        <v>545</v>
      </c>
      <c r="H55" s="72" t="s">
        <v>589</v>
      </c>
      <c r="I55" s="187">
        <v>2026</v>
      </c>
      <c r="J55" s="115">
        <v>0</v>
      </c>
      <c r="K55" s="116">
        <v>0</v>
      </c>
      <c r="L55" s="116">
        <v>0</v>
      </c>
      <c r="M55" s="188">
        <f>J55*K55/60</f>
        <v>0</v>
      </c>
      <c r="N55" s="188">
        <f>J55*L55/60</f>
        <v>0</v>
      </c>
      <c r="O55" s="82"/>
      <c r="P55" s="110"/>
      <c r="Q55" s="111"/>
      <c r="R55" s="112"/>
      <c r="S55" s="113"/>
      <c r="T55" s="114"/>
      <c r="U55" s="75" t="s">
        <v>415</v>
      </c>
      <c r="V55" s="231"/>
    </row>
    <row r="56" spans="1:22" s="39" customFormat="1" ht="72" customHeight="1" thickBot="1" x14ac:dyDescent="0.3">
      <c r="A56" s="316">
        <v>1</v>
      </c>
      <c r="B56" s="92"/>
      <c r="C56" s="92"/>
      <c r="D56" s="92"/>
      <c r="E56" s="106"/>
      <c r="F56" s="137"/>
      <c r="G56" s="122" t="s">
        <v>545</v>
      </c>
      <c r="H56" s="73" t="s">
        <v>536</v>
      </c>
      <c r="I56" s="190">
        <v>2026</v>
      </c>
      <c r="J56" s="115">
        <v>25</v>
      </c>
      <c r="K56" s="116">
        <v>1</v>
      </c>
      <c r="L56" s="116"/>
      <c r="M56" s="188">
        <f>J56*K56/60</f>
        <v>0.41666666666666669</v>
      </c>
      <c r="N56" s="188"/>
      <c r="O56" s="82"/>
      <c r="P56" s="110"/>
      <c r="Q56" s="191"/>
      <c r="R56" s="119"/>
      <c r="S56" s="192"/>
      <c r="T56" s="121" t="s">
        <v>534</v>
      </c>
      <c r="U56" s="75" t="s">
        <v>415</v>
      </c>
      <c r="V56" s="231"/>
    </row>
    <row r="57" spans="1:22" s="81" customFormat="1" ht="36" customHeight="1" thickBot="1" x14ac:dyDescent="0.3">
      <c r="A57" s="95">
        <v>1</v>
      </c>
      <c r="B57" s="107">
        <f>(SUM(M44:M56)*D8)*(1+2%)^1</f>
        <v>317.89999999999998</v>
      </c>
      <c r="C57" s="107">
        <f>(SUM(N44:N56)*D9)*(1+2%)^1</f>
        <v>215.03300000000002</v>
      </c>
      <c r="D57" s="96">
        <f>SUM(S44:S56)</f>
        <v>279.35321008403361</v>
      </c>
      <c r="E57" s="108">
        <f>SUM(B57:D57)</f>
        <v>812.28621008403366</v>
      </c>
      <c r="F57" s="138">
        <f>SUM(V44:V56)</f>
        <v>0</v>
      </c>
      <c r="G57" s="193"/>
      <c r="H57" s="76"/>
      <c r="I57" s="194"/>
      <c r="J57" s="77"/>
      <c r="K57" s="78"/>
      <c r="L57" s="78"/>
      <c r="M57" s="78"/>
      <c r="N57" s="78"/>
      <c r="O57" s="79"/>
      <c r="P57" s="195"/>
      <c r="Q57" s="196"/>
      <c r="R57" s="197"/>
      <c r="S57" s="198"/>
      <c r="T57" s="80"/>
      <c r="U57" s="199"/>
      <c r="V57" s="161"/>
    </row>
    <row r="58" spans="1:22" s="39" customFormat="1" ht="108.75" customHeight="1" x14ac:dyDescent="0.25">
      <c r="A58" s="317">
        <v>2</v>
      </c>
      <c r="B58" s="58"/>
      <c r="C58" s="58"/>
      <c r="D58" s="58"/>
      <c r="E58" s="59"/>
      <c r="F58" s="136"/>
      <c r="G58" s="122" t="s">
        <v>545</v>
      </c>
      <c r="H58" s="73" t="s">
        <v>537</v>
      </c>
      <c r="I58" s="190">
        <v>2027</v>
      </c>
      <c r="J58" s="115">
        <v>25</v>
      </c>
      <c r="K58" s="201">
        <v>1</v>
      </c>
      <c r="L58" s="201"/>
      <c r="M58" s="188">
        <f>J58*K58/60</f>
        <v>0.41666666666666669</v>
      </c>
      <c r="N58" s="188">
        <f>J58*L58/60</f>
        <v>0</v>
      </c>
      <c r="O58" s="109"/>
      <c r="P58" s="110"/>
      <c r="Q58" s="202"/>
      <c r="R58" s="116"/>
      <c r="S58" s="203"/>
      <c r="T58" s="75" t="s">
        <v>535</v>
      </c>
      <c r="U58" s="75" t="s">
        <v>415</v>
      </c>
      <c r="V58" s="161"/>
    </row>
    <row r="59" spans="1:22" s="39" customFormat="1" ht="101.25" customHeight="1" x14ac:dyDescent="0.25">
      <c r="A59" s="318">
        <v>2</v>
      </c>
      <c r="B59" s="92"/>
      <c r="C59" s="92"/>
      <c r="D59" s="92"/>
      <c r="E59" s="106"/>
      <c r="F59" s="137"/>
      <c r="G59" s="122" t="s">
        <v>545</v>
      </c>
      <c r="H59" s="73" t="s">
        <v>536</v>
      </c>
      <c r="I59" s="204">
        <v>2027</v>
      </c>
      <c r="J59" s="115">
        <v>25</v>
      </c>
      <c r="K59" s="116">
        <v>1</v>
      </c>
      <c r="L59" s="116"/>
      <c r="M59" s="188">
        <f>J59*K59/60</f>
        <v>0.41666666666666669</v>
      </c>
      <c r="N59" s="188">
        <f>J59*L59/60</f>
        <v>0</v>
      </c>
      <c r="O59" s="109"/>
      <c r="P59" s="110"/>
      <c r="Q59" s="191"/>
      <c r="R59" s="119"/>
      <c r="S59" s="192"/>
      <c r="T59" s="121" t="s">
        <v>534</v>
      </c>
      <c r="U59" s="75" t="s">
        <v>415</v>
      </c>
      <c r="V59" s="231"/>
    </row>
    <row r="60" spans="1:22" s="39" customFormat="1" ht="93.75" customHeight="1" x14ac:dyDescent="0.25">
      <c r="A60" s="317">
        <v>2</v>
      </c>
      <c r="B60" s="58"/>
      <c r="C60" s="58"/>
      <c r="D60" s="58"/>
      <c r="E60" s="59"/>
      <c r="F60" s="136"/>
      <c r="G60" s="191" t="s">
        <v>411</v>
      </c>
      <c r="H60" s="229" t="s">
        <v>532</v>
      </c>
      <c r="I60" s="190">
        <v>2027</v>
      </c>
      <c r="J60" s="226">
        <v>120</v>
      </c>
      <c r="K60" s="119">
        <v>1</v>
      </c>
      <c r="L60" s="119"/>
      <c r="M60" s="188">
        <f t="shared" ref="M60" si="19">J60*K60/60</f>
        <v>2</v>
      </c>
      <c r="N60" s="188">
        <f t="shared" ref="N60" si="20">J60*L60/60</f>
        <v>0</v>
      </c>
      <c r="O60" s="82" t="s">
        <v>436</v>
      </c>
      <c r="P60" s="120" t="s">
        <v>533</v>
      </c>
      <c r="Q60" s="111" t="s">
        <v>412</v>
      </c>
      <c r="R60" s="112" t="s">
        <v>538</v>
      </c>
      <c r="S60" s="113">
        <v>0</v>
      </c>
      <c r="T60" s="114" t="s">
        <v>592</v>
      </c>
      <c r="U60" s="189" t="s">
        <v>591</v>
      </c>
      <c r="V60" s="161"/>
    </row>
    <row r="61" spans="1:22" s="39" customFormat="1" ht="38.25" customHeight="1" x14ac:dyDescent="0.25">
      <c r="A61" s="318">
        <v>2</v>
      </c>
      <c r="B61" s="58"/>
      <c r="C61" s="58"/>
      <c r="D61" s="58"/>
      <c r="E61" s="59"/>
      <c r="F61" s="136"/>
      <c r="G61" s="191"/>
      <c r="H61" s="229"/>
      <c r="I61" s="190">
        <v>2027</v>
      </c>
      <c r="J61" s="225"/>
      <c r="K61" s="119"/>
      <c r="L61" s="119"/>
      <c r="M61" s="188"/>
      <c r="N61" s="188"/>
      <c r="O61" s="82"/>
      <c r="P61" s="120"/>
      <c r="Q61" s="111" t="s">
        <v>428</v>
      </c>
      <c r="R61" s="112" t="s">
        <v>594</v>
      </c>
      <c r="S61" s="113">
        <f>M60*27</f>
        <v>54</v>
      </c>
      <c r="T61" s="121"/>
      <c r="U61" s="75" t="s">
        <v>415</v>
      </c>
      <c r="V61" s="231"/>
    </row>
    <row r="62" spans="1:22" s="39" customFormat="1" ht="110.25" customHeight="1" x14ac:dyDescent="0.25">
      <c r="A62" s="317">
        <v>2</v>
      </c>
      <c r="B62" s="58"/>
      <c r="C62" s="58"/>
      <c r="D62" s="58"/>
      <c r="E62" s="59"/>
      <c r="F62" s="136"/>
      <c r="G62" s="228" t="s">
        <v>588</v>
      </c>
      <c r="H62" s="229" t="s">
        <v>540</v>
      </c>
      <c r="I62" s="190">
        <v>2027</v>
      </c>
      <c r="J62" s="225">
        <v>60</v>
      </c>
      <c r="K62" s="119">
        <v>1</v>
      </c>
      <c r="L62" s="119">
        <v>1</v>
      </c>
      <c r="M62" s="188">
        <f t="shared" ref="M62" si="21">J62*K62/60</f>
        <v>1</v>
      </c>
      <c r="N62" s="188">
        <f t="shared" ref="N62" si="22">J62*L62/60</f>
        <v>1</v>
      </c>
      <c r="O62" s="82" t="s">
        <v>528</v>
      </c>
      <c r="P62" s="120" t="s">
        <v>529</v>
      </c>
      <c r="Q62" s="111" t="s">
        <v>531</v>
      </c>
      <c r="R62" s="112" t="s">
        <v>530</v>
      </c>
      <c r="S62" s="113">
        <f>75/1.19</f>
        <v>63.025210084033617</v>
      </c>
      <c r="T62" s="232" t="s">
        <v>634</v>
      </c>
      <c r="U62" s="189" t="s">
        <v>591</v>
      </c>
      <c r="V62" s="231"/>
    </row>
    <row r="63" spans="1:22" s="39" customFormat="1" ht="56.25" customHeight="1" x14ac:dyDescent="0.25">
      <c r="A63" s="318">
        <v>2</v>
      </c>
      <c r="B63" s="58"/>
      <c r="C63" s="58"/>
      <c r="D63" s="58"/>
      <c r="E63" s="59"/>
      <c r="F63" s="136"/>
      <c r="G63" s="233"/>
      <c r="H63" s="224"/>
      <c r="I63" s="190">
        <v>2027</v>
      </c>
      <c r="J63" s="225"/>
      <c r="K63" s="119"/>
      <c r="L63" s="119"/>
      <c r="M63" s="188">
        <f t="shared" ref="M63" si="23">J63*K63/60</f>
        <v>0</v>
      </c>
      <c r="N63" s="188">
        <f t="shared" ref="N63" si="24">J63*L63/60</f>
        <v>0</v>
      </c>
      <c r="O63" s="82"/>
      <c r="P63" s="120"/>
      <c r="Q63" s="191" t="s">
        <v>428</v>
      </c>
      <c r="R63" s="112" t="s">
        <v>599</v>
      </c>
      <c r="S63" s="192">
        <f>87</f>
        <v>87</v>
      </c>
      <c r="T63" s="121"/>
      <c r="U63" s="75" t="s">
        <v>415</v>
      </c>
      <c r="V63" s="231"/>
    </row>
    <row r="64" spans="1:22" s="39" customFormat="1" ht="123.75" customHeight="1" thickBot="1" x14ac:dyDescent="0.3">
      <c r="A64" s="317">
        <v>2</v>
      </c>
      <c r="B64" s="58"/>
      <c r="C64" s="58"/>
      <c r="D64" s="58"/>
      <c r="E64" s="59"/>
      <c r="F64" s="136"/>
      <c r="G64" s="200" t="s">
        <v>543</v>
      </c>
      <c r="H64" s="73" t="s">
        <v>542</v>
      </c>
      <c r="I64" s="205">
        <v>2027</v>
      </c>
      <c r="J64" s="118">
        <v>75</v>
      </c>
      <c r="K64" s="119">
        <v>1</v>
      </c>
      <c r="L64" s="119"/>
      <c r="M64" s="188">
        <f>J64*K64/60</f>
        <v>1.25</v>
      </c>
      <c r="N64" s="188">
        <f>J64*L64/60</f>
        <v>0</v>
      </c>
      <c r="O64" s="82" t="s">
        <v>437</v>
      </c>
      <c r="P64" s="120" t="s">
        <v>480</v>
      </c>
      <c r="Q64" s="191" t="s">
        <v>541</v>
      </c>
      <c r="R64" s="119">
        <v>20</v>
      </c>
      <c r="S64" s="192">
        <f>R64*1.14</f>
        <v>22.799999999999997</v>
      </c>
      <c r="T64" s="117" t="s">
        <v>593</v>
      </c>
      <c r="U64" s="230" t="s">
        <v>591</v>
      </c>
      <c r="V64" s="156"/>
    </row>
    <row r="65" spans="1:22" s="81" customFormat="1" ht="36" customHeight="1" thickBot="1" x14ac:dyDescent="0.3">
      <c r="A65" s="95">
        <v>2</v>
      </c>
      <c r="B65" s="107">
        <f>(SUM(M58:M64)*D8)*(1+2%)^2</f>
        <v>116.35140000000001</v>
      </c>
      <c r="C65" s="107">
        <f>(SUM(N58:N64)*D9)*(1+2%)^2</f>
        <v>14.46156</v>
      </c>
      <c r="D65" s="96">
        <f>SUM(S58:S64)</f>
        <v>226.82521008403364</v>
      </c>
      <c r="E65" s="108">
        <f>SUM(B65:D65)</f>
        <v>357.63817008403362</v>
      </c>
      <c r="F65" s="138">
        <f>SUM(V58:V64)</f>
        <v>0</v>
      </c>
      <c r="G65" s="193"/>
      <c r="H65" s="76"/>
      <c r="I65" s="194"/>
      <c r="J65" s="77"/>
      <c r="K65" s="78"/>
      <c r="L65" s="78"/>
      <c r="M65" s="78"/>
      <c r="N65" s="78"/>
      <c r="O65" s="79"/>
      <c r="P65" s="195"/>
      <c r="Q65" s="196"/>
      <c r="R65" s="197"/>
      <c r="S65" s="198"/>
      <c r="T65" s="80"/>
      <c r="U65" s="199"/>
      <c r="V65" s="161"/>
    </row>
    <row r="66" spans="1:22" s="39" customFormat="1" ht="45.75" thickBot="1" x14ac:dyDescent="0.3">
      <c r="A66" s="317">
        <v>3</v>
      </c>
      <c r="B66" s="58"/>
      <c r="C66" s="58"/>
      <c r="D66" s="58"/>
      <c r="E66" s="59"/>
      <c r="F66" s="136"/>
      <c r="G66" s="122" t="s">
        <v>544</v>
      </c>
      <c r="H66" s="73" t="s">
        <v>537</v>
      </c>
      <c r="I66" s="190">
        <v>2028</v>
      </c>
      <c r="J66" s="115">
        <v>25</v>
      </c>
      <c r="K66" s="201">
        <v>1</v>
      </c>
      <c r="L66" s="201"/>
      <c r="M66" s="188">
        <f>J66*K66/60</f>
        <v>0.41666666666666669</v>
      </c>
      <c r="N66" s="188">
        <f>J66*L66/60</f>
        <v>0</v>
      </c>
      <c r="O66" s="82" t="s">
        <v>437</v>
      </c>
      <c r="P66" s="110"/>
      <c r="Q66" s="202"/>
      <c r="R66" s="116"/>
      <c r="S66" s="203"/>
      <c r="T66" s="75" t="s">
        <v>546</v>
      </c>
      <c r="U66" s="75" t="s">
        <v>415</v>
      </c>
      <c r="V66" s="161"/>
    </row>
    <row r="67" spans="1:22" s="81" customFormat="1" ht="36" customHeight="1" thickBot="1" x14ac:dyDescent="0.3">
      <c r="A67" s="95">
        <v>3</v>
      </c>
      <c r="B67" s="107">
        <f>(SUM(M66:M66)*D8)*(1+2%)^3</f>
        <v>9.7277400000000007</v>
      </c>
      <c r="C67" s="107">
        <f>(SUM(N66:N66)*D9)*(1+2%)^3</f>
        <v>0</v>
      </c>
      <c r="D67" s="96">
        <f>SUM(S66:S66)</f>
        <v>0</v>
      </c>
      <c r="E67" s="108">
        <f>SUM(B67:D67)</f>
        <v>9.7277400000000007</v>
      </c>
      <c r="F67" s="138">
        <f>SUM(V66:V66)</f>
        <v>0</v>
      </c>
      <c r="G67" s="193"/>
      <c r="H67" s="76"/>
      <c r="I67" s="194"/>
      <c r="J67" s="77"/>
      <c r="K67" s="78"/>
      <c r="L67" s="78"/>
      <c r="M67" s="78"/>
      <c r="N67" s="78"/>
      <c r="O67" s="79"/>
      <c r="P67" s="195"/>
      <c r="Q67" s="196"/>
      <c r="R67" s="197"/>
      <c r="S67" s="198"/>
      <c r="T67" s="80"/>
      <c r="U67" s="199"/>
      <c r="V67" s="161"/>
    </row>
    <row r="68" spans="1:22" s="39" customFormat="1" ht="48.2" customHeight="1" thickBot="1" x14ac:dyDescent="0.3">
      <c r="A68" s="317">
        <v>4</v>
      </c>
      <c r="B68" s="58"/>
      <c r="C68" s="58"/>
      <c r="D68" s="58"/>
      <c r="E68" s="59"/>
      <c r="F68" s="136"/>
      <c r="G68" s="122" t="s">
        <v>544</v>
      </c>
      <c r="H68" s="73" t="s">
        <v>537</v>
      </c>
      <c r="I68" s="190">
        <v>2029</v>
      </c>
      <c r="J68" s="115">
        <v>25</v>
      </c>
      <c r="K68" s="201">
        <v>1</v>
      </c>
      <c r="L68" s="201"/>
      <c r="M68" s="188">
        <f>J68*K68/60</f>
        <v>0.41666666666666669</v>
      </c>
      <c r="N68" s="188">
        <f>J68*L68/60</f>
        <v>0</v>
      </c>
      <c r="O68" s="82" t="s">
        <v>437</v>
      </c>
      <c r="P68" s="110"/>
      <c r="Q68" s="202"/>
      <c r="R68" s="116"/>
      <c r="S68" s="203"/>
      <c r="T68" s="75" t="s">
        <v>546</v>
      </c>
      <c r="U68" s="75" t="s">
        <v>415</v>
      </c>
      <c r="V68" s="162"/>
    </row>
    <row r="69" spans="1:22" s="81" customFormat="1" ht="36" customHeight="1" thickBot="1" x14ac:dyDescent="0.3">
      <c r="A69" s="95">
        <v>4</v>
      </c>
      <c r="B69" s="107">
        <f>(SUM(M68:M68)*D8)*(1+2%)^4</f>
        <v>9.9222948000000013</v>
      </c>
      <c r="C69" s="107">
        <f>(SUM(N68:N68)*D9)*(1+2%)^4</f>
        <v>0</v>
      </c>
      <c r="D69" s="96">
        <f>SUM(S68:S68)</f>
        <v>0</v>
      </c>
      <c r="E69" s="108">
        <f>SUM(B69:D69)</f>
        <v>9.9222948000000013</v>
      </c>
      <c r="F69" s="138">
        <f>SUM(V68:V68)</f>
        <v>0</v>
      </c>
      <c r="G69" s="193"/>
      <c r="H69" s="76"/>
      <c r="I69" s="194"/>
      <c r="J69" s="77"/>
      <c r="K69" s="78"/>
      <c r="L69" s="78"/>
      <c r="M69" s="78"/>
      <c r="N69" s="78"/>
      <c r="O69" s="79"/>
      <c r="P69" s="195"/>
      <c r="Q69" s="196"/>
      <c r="R69" s="197"/>
      <c r="S69" s="198"/>
      <c r="T69" s="80"/>
      <c r="U69" s="199"/>
      <c r="V69" s="161"/>
    </row>
    <row r="70" spans="1:22" s="39" customFormat="1" ht="54" customHeight="1" x14ac:dyDescent="0.25">
      <c r="A70" s="317">
        <v>5</v>
      </c>
      <c r="B70" s="58"/>
      <c r="C70" s="58"/>
      <c r="D70" s="58"/>
      <c r="E70" s="59"/>
      <c r="F70" s="136"/>
      <c r="G70" s="122" t="s">
        <v>544</v>
      </c>
      <c r="H70" s="73" t="s">
        <v>537</v>
      </c>
      <c r="I70" s="190">
        <v>2030</v>
      </c>
      <c r="J70" s="115">
        <v>25</v>
      </c>
      <c r="K70" s="201">
        <v>1</v>
      </c>
      <c r="L70" s="201"/>
      <c r="M70" s="188">
        <f>J70*K70/60</f>
        <v>0.41666666666666669</v>
      </c>
      <c r="N70" s="188">
        <f>J70*L70/60</f>
        <v>0</v>
      </c>
      <c r="O70" s="82" t="s">
        <v>437</v>
      </c>
      <c r="P70" s="110"/>
      <c r="Q70" s="202"/>
      <c r="R70" s="116"/>
      <c r="S70" s="203"/>
      <c r="T70" s="75" t="s">
        <v>546</v>
      </c>
      <c r="U70" s="75" t="s">
        <v>415</v>
      </c>
      <c r="V70" s="162"/>
    </row>
    <row r="71" spans="1:22" s="39" customFormat="1" ht="151.5" customHeight="1" x14ac:dyDescent="0.25">
      <c r="A71" s="317">
        <v>5</v>
      </c>
      <c r="B71" s="58"/>
      <c r="C71" s="58"/>
      <c r="D71" s="58"/>
      <c r="E71" s="59"/>
      <c r="F71" s="136"/>
      <c r="G71" s="124" t="s">
        <v>439</v>
      </c>
      <c r="H71" s="206" t="s">
        <v>613</v>
      </c>
      <c r="I71" s="207">
        <v>2030</v>
      </c>
      <c r="J71" s="123">
        <f>240+140</f>
        <v>380</v>
      </c>
      <c r="K71" s="208">
        <v>1</v>
      </c>
      <c r="L71" s="208"/>
      <c r="M71" s="209">
        <f>J71*K71/60</f>
        <v>6.333333333333333</v>
      </c>
      <c r="N71" s="209">
        <f>J71*L71/60</f>
        <v>0</v>
      </c>
      <c r="O71" s="210" t="s">
        <v>612</v>
      </c>
      <c r="P71" s="211" t="s">
        <v>600</v>
      </c>
      <c r="Q71" s="210" t="s">
        <v>547</v>
      </c>
      <c r="R71" s="212" t="s">
        <v>476</v>
      </c>
      <c r="S71" s="213">
        <v>22</v>
      </c>
      <c r="T71" s="210" t="s">
        <v>630</v>
      </c>
      <c r="U71" s="214" t="s">
        <v>591</v>
      </c>
      <c r="V71" s="161">
        <f>((Futterlauberlöse!A25+Futterlauberlöse!E38)*(1+3%)^5)*2</f>
        <v>42.652011741645595</v>
      </c>
    </row>
    <row r="72" spans="1:22" s="39" customFormat="1" ht="44.25" customHeight="1" thickBot="1" x14ac:dyDescent="0.3">
      <c r="A72" s="317">
        <v>5</v>
      </c>
      <c r="B72" s="58"/>
      <c r="C72" s="58"/>
      <c r="D72" s="58"/>
      <c r="E72" s="59"/>
      <c r="F72" s="136"/>
      <c r="G72" s="124"/>
      <c r="H72" s="206"/>
      <c r="I72" s="207">
        <v>2030</v>
      </c>
      <c r="J72" s="123"/>
      <c r="K72" s="208"/>
      <c r="L72" s="208"/>
      <c r="M72" s="209">
        <f>J72*K72/60</f>
        <v>0</v>
      </c>
      <c r="N72" s="209">
        <f>J72*L72/60</f>
        <v>0</v>
      </c>
      <c r="O72" s="210"/>
      <c r="P72" s="211"/>
      <c r="Q72" s="210" t="s">
        <v>548</v>
      </c>
      <c r="R72" s="212" t="s">
        <v>598</v>
      </c>
      <c r="S72" s="213">
        <f>35*2</f>
        <v>70</v>
      </c>
      <c r="T72" s="210" t="s">
        <v>614</v>
      </c>
      <c r="U72" s="214" t="s">
        <v>415</v>
      </c>
      <c r="V72" s="162"/>
    </row>
    <row r="73" spans="1:22" s="81" customFormat="1" ht="36" customHeight="1" thickBot="1" x14ac:dyDescent="0.3">
      <c r="A73" s="95">
        <v>5</v>
      </c>
      <c r="B73" s="107">
        <f>(SUM(M70:M72)*D8)*(1+2%)^5</f>
        <v>163.95599927520001</v>
      </c>
      <c r="C73" s="107">
        <f>(SUM(N70:N72)*D9)*(1+2%)^5</f>
        <v>0</v>
      </c>
      <c r="D73" s="96">
        <f>SUM(S70:S72)</f>
        <v>92</v>
      </c>
      <c r="E73" s="108">
        <f>SUM(B73:D73)</f>
        <v>255.95599927520001</v>
      </c>
      <c r="F73" s="138">
        <f>SUM(V70:V72)</f>
        <v>42.652011741645595</v>
      </c>
      <c r="G73" s="193"/>
      <c r="H73" s="76"/>
      <c r="I73" s="194"/>
      <c r="J73" s="77"/>
      <c r="K73" s="78"/>
      <c r="L73" s="78"/>
      <c r="M73" s="78"/>
      <c r="N73" s="78"/>
      <c r="O73" s="79"/>
      <c r="P73" s="195"/>
      <c r="Q73" s="196"/>
      <c r="R73" s="197"/>
      <c r="S73" s="198"/>
      <c r="T73" s="80"/>
      <c r="U73" s="199"/>
      <c r="V73" s="161"/>
    </row>
    <row r="74" spans="1:22" s="39" customFormat="1" ht="54" customHeight="1" x14ac:dyDescent="0.25">
      <c r="A74" s="317">
        <v>6</v>
      </c>
      <c r="B74" s="58"/>
      <c r="C74" s="58"/>
      <c r="D74" s="58"/>
      <c r="E74" s="59"/>
      <c r="F74" s="136"/>
      <c r="G74" s="122" t="s">
        <v>544</v>
      </c>
      <c r="H74" s="73" t="s">
        <v>537</v>
      </c>
      <c r="I74" s="190">
        <v>2031</v>
      </c>
      <c r="J74" s="115">
        <v>25</v>
      </c>
      <c r="K74" s="201">
        <v>1</v>
      </c>
      <c r="L74" s="201"/>
      <c r="M74" s="188">
        <f>J74*K74/60</f>
        <v>0.41666666666666669</v>
      </c>
      <c r="N74" s="188">
        <f>J74*L74/60</f>
        <v>0</v>
      </c>
      <c r="O74" s="82" t="s">
        <v>437</v>
      </c>
      <c r="P74" s="110"/>
      <c r="Q74" s="202"/>
      <c r="R74" s="116"/>
      <c r="S74" s="203"/>
      <c r="T74" s="75" t="s">
        <v>546</v>
      </c>
      <c r="U74" s="75" t="s">
        <v>415</v>
      </c>
      <c r="V74" s="162"/>
    </row>
    <row r="75" spans="1:22" s="39" customFormat="1" ht="120.75" customHeight="1" thickBot="1" x14ac:dyDescent="0.3">
      <c r="A75" s="317">
        <v>6</v>
      </c>
      <c r="B75" s="58"/>
      <c r="C75" s="58"/>
      <c r="D75" s="58"/>
      <c r="E75" s="59"/>
      <c r="F75" s="136"/>
      <c r="G75" s="124" t="s">
        <v>439</v>
      </c>
      <c r="H75" s="206" t="s">
        <v>615</v>
      </c>
      <c r="I75" s="207">
        <v>2031</v>
      </c>
      <c r="J75" s="123">
        <v>240</v>
      </c>
      <c r="K75" s="208">
        <v>1</v>
      </c>
      <c r="L75" s="208"/>
      <c r="M75" s="209">
        <f>J75*K75/60</f>
        <v>4</v>
      </c>
      <c r="N75" s="209">
        <f>J75*L75/60</f>
        <v>0</v>
      </c>
      <c r="O75" s="210" t="s">
        <v>616</v>
      </c>
      <c r="P75" s="211" t="s">
        <v>617</v>
      </c>
      <c r="Q75" s="210"/>
      <c r="R75" s="212"/>
      <c r="S75" s="213"/>
      <c r="T75" s="210" t="s">
        <v>631</v>
      </c>
      <c r="U75" s="214" t="s">
        <v>591</v>
      </c>
      <c r="V75" s="161">
        <f>(Futterlauberlöse!A25+Futterlauberlöse!E38)*(1+3%)^6</f>
        <v>21.965786046947482</v>
      </c>
    </row>
    <row r="76" spans="1:22" s="81" customFormat="1" ht="36" customHeight="1" thickBot="1" x14ac:dyDescent="0.3">
      <c r="A76" s="95">
        <v>6</v>
      </c>
      <c r="B76" s="107">
        <f>(SUM(M74:M75)*D8)*(1+2%)^6</f>
        <v>109.42544840515201</v>
      </c>
      <c r="C76" s="107">
        <f>(SUM(N74:N75)*D9)*(1+2%)^6</f>
        <v>0</v>
      </c>
      <c r="D76" s="96">
        <f>SUM(S74:S75)</f>
        <v>0</v>
      </c>
      <c r="E76" s="108">
        <f>SUM(B76:D76)</f>
        <v>109.42544840515201</v>
      </c>
      <c r="F76" s="138">
        <f>SUM(V74:V75)</f>
        <v>21.965786046947482</v>
      </c>
      <c r="G76" s="193"/>
      <c r="H76" s="76"/>
      <c r="I76" s="194"/>
      <c r="J76" s="77"/>
      <c r="K76" s="78"/>
      <c r="L76" s="78"/>
      <c r="M76" s="78"/>
      <c r="N76" s="78"/>
      <c r="O76" s="79"/>
      <c r="P76" s="195"/>
      <c r="Q76" s="196"/>
      <c r="R76" s="197"/>
      <c r="S76" s="198"/>
      <c r="T76" s="80"/>
      <c r="U76" s="199"/>
      <c r="V76" s="161"/>
    </row>
    <row r="77" spans="1:22" s="39" customFormat="1" ht="54" customHeight="1" x14ac:dyDescent="0.25">
      <c r="A77" s="317">
        <v>7</v>
      </c>
      <c r="B77" s="58"/>
      <c r="C77" s="58"/>
      <c r="D77" s="58"/>
      <c r="E77" s="59"/>
      <c r="F77" s="136"/>
      <c r="G77" s="122" t="s">
        <v>544</v>
      </c>
      <c r="H77" s="73" t="s">
        <v>537</v>
      </c>
      <c r="I77" s="190">
        <v>2032</v>
      </c>
      <c r="J77" s="115">
        <v>25</v>
      </c>
      <c r="K77" s="201">
        <v>1</v>
      </c>
      <c r="L77" s="201"/>
      <c r="M77" s="188">
        <f>J77*K77/60</f>
        <v>0.41666666666666669</v>
      </c>
      <c r="N77" s="188">
        <f>J77*L77/60</f>
        <v>0</v>
      </c>
      <c r="O77" s="82" t="s">
        <v>437</v>
      </c>
      <c r="P77" s="110"/>
      <c r="Q77" s="202"/>
      <c r="R77" s="116"/>
      <c r="S77" s="203"/>
      <c r="T77" s="75" t="s">
        <v>546</v>
      </c>
      <c r="U77" s="75" t="s">
        <v>415</v>
      </c>
      <c r="V77" s="162"/>
    </row>
    <row r="78" spans="1:22" s="39" customFormat="1" ht="104.25" customHeight="1" thickBot="1" x14ac:dyDescent="0.3">
      <c r="A78" s="317">
        <v>7</v>
      </c>
      <c r="B78" s="58"/>
      <c r="C78" s="58"/>
      <c r="D78" s="58"/>
      <c r="E78" s="59"/>
      <c r="F78" s="136"/>
      <c r="G78" s="124" t="s">
        <v>439</v>
      </c>
      <c r="H78" s="206" t="s">
        <v>615</v>
      </c>
      <c r="I78" s="207">
        <v>2032</v>
      </c>
      <c r="J78" s="123">
        <v>240</v>
      </c>
      <c r="K78" s="208">
        <v>1</v>
      </c>
      <c r="L78" s="208"/>
      <c r="M78" s="209">
        <f>J78*K78/60</f>
        <v>4</v>
      </c>
      <c r="N78" s="209">
        <f>J78*L78/60</f>
        <v>0</v>
      </c>
      <c r="O78" s="210" t="s">
        <v>616</v>
      </c>
      <c r="P78" s="211" t="s">
        <v>617</v>
      </c>
      <c r="Q78" s="210"/>
      <c r="R78" s="212"/>
      <c r="S78" s="213"/>
      <c r="T78" s="210" t="s">
        <v>631</v>
      </c>
      <c r="U78" s="214" t="s">
        <v>591</v>
      </c>
      <c r="V78" s="161">
        <f>(Futterlauberlöse!A25+Futterlauberlöse!E38)*(1+3%)^7</f>
        <v>22.62475962835591</v>
      </c>
    </row>
    <row r="79" spans="1:22" s="81" customFormat="1" ht="36" customHeight="1" thickBot="1" x14ac:dyDescent="0.3">
      <c r="A79" s="95">
        <v>7</v>
      </c>
      <c r="B79" s="107">
        <f>(SUM(M77:M78)*D8)*(1+2%)^7</f>
        <v>111.61395737325503</v>
      </c>
      <c r="C79" s="107">
        <f>(SUM(N77:N78)*D9)*(1+2%)^7</f>
        <v>0</v>
      </c>
      <c r="D79" s="96">
        <f>SUM(S77:S78)</f>
        <v>0</v>
      </c>
      <c r="E79" s="108">
        <f>SUM(B79:D79)</f>
        <v>111.61395737325503</v>
      </c>
      <c r="F79" s="138">
        <f>SUM(V77:V78)</f>
        <v>22.62475962835591</v>
      </c>
      <c r="G79" s="193"/>
      <c r="H79" s="76"/>
      <c r="I79" s="194"/>
      <c r="J79" s="77"/>
      <c r="K79" s="78"/>
      <c r="L79" s="78"/>
      <c r="M79" s="78"/>
      <c r="N79" s="78"/>
      <c r="O79" s="79"/>
      <c r="P79" s="195"/>
      <c r="Q79" s="196"/>
      <c r="R79" s="197"/>
      <c r="S79" s="198"/>
      <c r="T79" s="80"/>
      <c r="U79" s="199"/>
      <c r="V79" s="161"/>
    </row>
    <row r="80" spans="1:22" s="39" customFormat="1" ht="54" customHeight="1" x14ac:dyDescent="0.25">
      <c r="A80" s="317">
        <v>8</v>
      </c>
      <c r="B80" s="58"/>
      <c r="C80" s="58"/>
      <c r="D80" s="58"/>
      <c r="E80" s="59"/>
      <c r="F80" s="136"/>
      <c r="G80" s="122" t="s">
        <v>544</v>
      </c>
      <c r="H80" s="73" t="s">
        <v>537</v>
      </c>
      <c r="I80" s="190">
        <v>2033</v>
      </c>
      <c r="J80" s="115">
        <v>25</v>
      </c>
      <c r="K80" s="201">
        <v>1</v>
      </c>
      <c r="L80" s="201"/>
      <c r="M80" s="188">
        <f>J80*K80/60</f>
        <v>0.41666666666666669</v>
      </c>
      <c r="N80" s="188">
        <f>J80*L80/60</f>
        <v>0</v>
      </c>
      <c r="O80" s="82" t="s">
        <v>437</v>
      </c>
      <c r="P80" s="110"/>
      <c r="Q80" s="202"/>
      <c r="R80" s="116"/>
      <c r="S80" s="203"/>
      <c r="T80" s="75" t="s">
        <v>546</v>
      </c>
      <c r="U80" s="75" t="s">
        <v>415</v>
      </c>
      <c r="V80" s="162"/>
    </row>
    <row r="81" spans="1:22" s="39" customFormat="1" ht="126" customHeight="1" x14ac:dyDescent="0.25">
      <c r="A81" s="317">
        <v>8</v>
      </c>
      <c r="B81" s="58"/>
      <c r="C81" s="58"/>
      <c r="D81" s="58"/>
      <c r="E81" s="59"/>
      <c r="F81" s="136"/>
      <c r="G81" s="124" t="s">
        <v>439</v>
      </c>
      <c r="H81" s="206" t="s">
        <v>613</v>
      </c>
      <c r="I81" s="207">
        <v>2033</v>
      </c>
      <c r="J81" s="123">
        <f>240+140</f>
        <v>380</v>
      </c>
      <c r="K81" s="208">
        <v>1</v>
      </c>
      <c r="L81" s="208"/>
      <c r="M81" s="209">
        <f>J81*K81/60</f>
        <v>6.333333333333333</v>
      </c>
      <c r="N81" s="209">
        <f>J81*L81/60</f>
        <v>0</v>
      </c>
      <c r="O81" s="210" t="s">
        <v>612</v>
      </c>
      <c r="P81" s="211" t="s">
        <v>600</v>
      </c>
      <c r="Q81" s="210" t="s">
        <v>547</v>
      </c>
      <c r="R81" s="212" t="s">
        <v>476</v>
      </c>
      <c r="S81" s="213">
        <v>22</v>
      </c>
      <c r="T81" s="210" t="s">
        <v>630</v>
      </c>
      <c r="U81" s="214" t="s">
        <v>591</v>
      </c>
      <c r="V81" s="161">
        <f>((Futterlauberlöse!A25+Futterlauberlöse!E39)*(1+3%)^8)*2</f>
        <v>57.928889113823118</v>
      </c>
    </row>
    <row r="82" spans="1:22" s="39" customFormat="1" ht="48.75" customHeight="1" thickBot="1" x14ac:dyDescent="0.3">
      <c r="A82" s="317">
        <v>8</v>
      </c>
      <c r="B82" s="58"/>
      <c r="C82" s="58"/>
      <c r="D82" s="58"/>
      <c r="E82" s="59"/>
      <c r="F82" s="136"/>
      <c r="G82" s="124"/>
      <c r="H82" s="206"/>
      <c r="I82" s="207">
        <v>2033</v>
      </c>
      <c r="J82" s="123"/>
      <c r="K82" s="208"/>
      <c r="L82" s="208"/>
      <c r="M82" s="209">
        <f>J82*K82/60</f>
        <v>0</v>
      </c>
      <c r="N82" s="209">
        <f>J82*L82/60</f>
        <v>0</v>
      </c>
      <c r="O82" s="210"/>
      <c r="P82" s="211"/>
      <c r="Q82" s="210" t="s">
        <v>548</v>
      </c>
      <c r="R82" s="212" t="s">
        <v>598</v>
      </c>
      <c r="S82" s="213">
        <f>35*2</f>
        <v>70</v>
      </c>
      <c r="T82" s="210" t="s">
        <v>614</v>
      </c>
      <c r="U82" s="214" t="s">
        <v>415</v>
      </c>
      <c r="V82" s="161"/>
    </row>
    <row r="83" spans="1:22" s="81" customFormat="1" ht="36" customHeight="1" thickBot="1" x14ac:dyDescent="0.3">
      <c r="A83" s="95">
        <v>8</v>
      </c>
      <c r="B83" s="107">
        <f>(SUM(M80:M82)*D8)*(1+2%)^8</f>
        <v>173.99141807883643</v>
      </c>
      <c r="C83" s="107">
        <f>(SUM(N80:N82)*D9)*(1+2%)^8</f>
        <v>0</v>
      </c>
      <c r="D83" s="96">
        <f>SUM(S80:S82)</f>
        <v>92</v>
      </c>
      <c r="E83" s="108">
        <f>SUM(B83:D83)</f>
        <v>265.99141807883643</v>
      </c>
      <c r="F83" s="138">
        <f>SUM(V80:V82)</f>
        <v>57.928889113823118</v>
      </c>
      <c r="G83" s="193"/>
      <c r="H83" s="76"/>
      <c r="I83" s="194"/>
      <c r="J83" s="77"/>
      <c r="K83" s="78"/>
      <c r="L83" s="78"/>
      <c r="M83" s="78"/>
      <c r="N83" s="78"/>
      <c r="O83" s="79"/>
      <c r="P83" s="195"/>
      <c r="Q83" s="196"/>
      <c r="R83" s="197"/>
      <c r="S83" s="198"/>
      <c r="T83" s="80"/>
      <c r="U83" s="199"/>
      <c r="V83" s="161"/>
    </row>
    <row r="84" spans="1:22" s="39" customFormat="1" ht="54" customHeight="1" x14ac:dyDescent="0.25">
      <c r="A84" s="317">
        <v>9</v>
      </c>
      <c r="B84" s="58"/>
      <c r="C84" s="58"/>
      <c r="D84" s="58"/>
      <c r="E84" s="59"/>
      <c r="F84" s="136"/>
      <c r="G84" s="122" t="s">
        <v>544</v>
      </c>
      <c r="H84" s="73" t="s">
        <v>537</v>
      </c>
      <c r="I84" s="190">
        <v>2034</v>
      </c>
      <c r="J84" s="115">
        <v>25</v>
      </c>
      <c r="K84" s="201">
        <v>1</v>
      </c>
      <c r="L84" s="201"/>
      <c r="M84" s="188">
        <f>J84*K84/60</f>
        <v>0.41666666666666669</v>
      </c>
      <c r="N84" s="188">
        <f>J84*L84/60</f>
        <v>0</v>
      </c>
      <c r="O84" s="82" t="s">
        <v>437</v>
      </c>
      <c r="P84" s="110"/>
      <c r="Q84" s="202"/>
      <c r="R84" s="116"/>
      <c r="S84" s="203"/>
      <c r="T84" s="75" t="s">
        <v>546</v>
      </c>
      <c r="U84" s="75" t="s">
        <v>415</v>
      </c>
      <c r="V84" s="162"/>
    </row>
    <row r="85" spans="1:22" s="39" customFormat="1" ht="103.5" customHeight="1" thickBot="1" x14ac:dyDescent="0.3">
      <c r="A85" s="317">
        <v>9</v>
      </c>
      <c r="B85" s="58"/>
      <c r="C85" s="58"/>
      <c r="D85" s="58"/>
      <c r="E85" s="59"/>
      <c r="F85" s="136"/>
      <c r="G85" s="124" t="s">
        <v>439</v>
      </c>
      <c r="H85" s="206" t="s">
        <v>615</v>
      </c>
      <c r="I85" s="207">
        <v>2034</v>
      </c>
      <c r="J85" s="123">
        <v>240</v>
      </c>
      <c r="K85" s="208">
        <v>1</v>
      </c>
      <c r="L85" s="208"/>
      <c r="M85" s="209">
        <f>J85*K85/60</f>
        <v>4</v>
      </c>
      <c r="N85" s="209">
        <f>J85*L85/60</f>
        <v>0</v>
      </c>
      <c r="O85" s="210" t="s">
        <v>616</v>
      </c>
      <c r="P85" s="211" t="s">
        <v>617</v>
      </c>
      <c r="Q85" s="210"/>
      <c r="R85" s="212"/>
      <c r="S85" s="213"/>
      <c r="T85" s="210" t="s">
        <v>631</v>
      </c>
      <c r="U85" s="214" t="s">
        <v>591</v>
      </c>
      <c r="V85" s="161">
        <f>(Futterlauberlöse!A25+Futterlauberlöse!E39)*(1+3%)^9</f>
        <v>29.833377893618906</v>
      </c>
    </row>
    <row r="86" spans="1:22" s="81" customFormat="1" ht="36" customHeight="1" thickBot="1" x14ac:dyDescent="0.3">
      <c r="A86" s="95">
        <v>9</v>
      </c>
      <c r="B86" s="107">
        <f>(SUM(M84:M85)*D8)*(1+2%)^9</f>
        <v>116.12316125113455</v>
      </c>
      <c r="C86" s="107">
        <f>(SUM(N84:N85)*D9)*(1+2%)^9</f>
        <v>0</v>
      </c>
      <c r="D86" s="96">
        <f>SUM(S84:S85)</f>
        <v>0</v>
      </c>
      <c r="E86" s="108">
        <f>SUM(B86:D86)</f>
        <v>116.12316125113455</v>
      </c>
      <c r="F86" s="138">
        <f>SUM(V84:V85)</f>
        <v>29.833377893618906</v>
      </c>
      <c r="G86" s="193"/>
      <c r="H86" s="76"/>
      <c r="I86" s="194"/>
      <c r="J86" s="77"/>
      <c r="K86" s="78"/>
      <c r="L86" s="78"/>
      <c r="M86" s="78"/>
      <c r="N86" s="78"/>
      <c r="O86" s="79"/>
      <c r="P86" s="195"/>
      <c r="Q86" s="196"/>
      <c r="R86" s="197"/>
      <c r="S86" s="198"/>
      <c r="T86" s="80"/>
      <c r="U86" s="199"/>
      <c r="V86" s="161"/>
    </row>
    <row r="87" spans="1:22" s="39" customFormat="1" ht="54" customHeight="1" x14ac:dyDescent="0.25">
      <c r="A87" s="317">
        <v>10</v>
      </c>
      <c r="B87" s="58"/>
      <c r="C87" s="58"/>
      <c r="D87" s="58"/>
      <c r="E87" s="59"/>
      <c r="F87" s="136"/>
      <c r="G87" s="122" t="s">
        <v>544</v>
      </c>
      <c r="H87" s="73" t="s">
        <v>537</v>
      </c>
      <c r="I87" s="190">
        <v>2035</v>
      </c>
      <c r="J87" s="115">
        <v>25</v>
      </c>
      <c r="K87" s="201">
        <v>1</v>
      </c>
      <c r="L87" s="201"/>
      <c r="M87" s="188">
        <f>J87*K87/60</f>
        <v>0.41666666666666669</v>
      </c>
      <c r="N87" s="188">
        <f>J87*L87/60</f>
        <v>0</v>
      </c>
      <c r="O87" s="82" t="s">
        <v>437</v>
      </c>
      <c r="P87" s="110"/>
      <c r="Q87" s="202"/>
      <c r="R87" s="116"/>
      <c r="S87" s="203"/>
      <c r="T87" s="75" t="s">
        <v>546</v>
      </c>
      <c r="U87" s="75" t="s">
        <v>415</v>
      </c>
      <c r="V87" s="162"/>
    </row>
    <row r="88" spans="1:22" s="39" customFormat="1" ht="116.25" customHeight="1" x14ac:dyDescent="0.25">
      <c r="A88" s="317">
        <v>10</v>
      </c>
      <c r="B88" s="58"/>
      <c r="C88" s="58"/>
      <c r="D88" s="58"/>
      <c r="E88" s="59"/>
      <c r="F88" s="136"/>
      <c r="G88" s="124" t="s">
        <v>439</v>
      </c>
      <c r="H88" s="206" t="s">
        <v>615</v>
      </c>
      <c r="I88" s="207">
        <v>2035</v>
      </c>
      <c r="J88" s="123">
        <v>240</v>
      </c>
      <c r="K88" s="208">
        <v>1</v>
      </c>
      <c r="L88" s="208"/>
      <c r="M88" s="209">
        <f>J88*K88/60</f>
        <v>4</v>
      </c>
      <c r="N88" s="209">
        <f>J88*L88/60</f>
        <v>0</v>
      </c>
      <c r="O88" s="210" t="s">
        <v>616</v>
      </c>
      <c r="P88" s="211" t="s">
        <v>617</v>
      </c>
      <c r="Q88" s="210"/>
      <c r="R88" s="212"/>
      <c r="S88" s="213"/>
      <c r="T88" s="210" t="s">
        <v>631</v>
      </c>
      <c r="U88" s="214" t="s">
        <v>591</v>
      </c>
      <c r="V88" s="161">
        <f>(Futterlauberlöse!A25+Futterlauberlöse!E40)*(1+3%)^10</f>
        <v>36.734072746440489</v>
      </c>
    </row>
    <row r="89" spans="1:22" s="39" customFormat="1" ht="114" customHeight="1" thickBot="1" x14ac:dyDescent="0.3">
      <c r="A89" s="317">
        <v>10</v>
      </c>
      <c r="B89" s="58"/>
      <c r="C89" s="58"/>
      <c r="D89" s="58"/>
      <c r="E89" s="59"/>
      <c r="F89" s="136"/>
      <c r="G89" s="124" t="s">
        <v>570</v>
      </c>
      <c r="H89" s="206" t="s">
        <v>608</v>
      </c>
      <c r="I89" s="207">
        <v>2035</v>
      </c>
      <c r="J89" s="123"/>
      <c r="K89" s="208"/>
      <c r="L89" s="208"/>
      <c r="M89" s="209">
        <f>J89*K89/60</f>
        <v>0</v>
      </c>
      <c r="N89" s="209">
        <f>J89*L89/60</f>
        <v>0</v>
      </c>
      <c r="O89" s="210" t="s">
        <v>610</v>
      </c>
      <c r="P89" s="211"/>
      <c r="Q89" s="210"/>
      <c r="R89" s="212"/>
      <c r="S89" s="213"/>
      <c r="T89" s="210" t="s">
        <v>611</v>
      </c>
      <c r="U89" s="214" t="s">
        <v>609</v>
      </c>
      <c r="V89" s="161">
        <f>(22*20+13.9*40)*(1+2%)^10</f>
        <v>1214.1184423147781</v>
      </c>
    </row>
    <row r="90" spans="1:22" s="81" customFormat="1" ht="36" customHeight="1" thickBot="1" x14ac:dyDescent="0.3">
      <c r="A90" s="95">
        <v>10</v>
      </c>
      <c r="B90" s="107">
        <f>(SUM(M87:M89)*D8)*(1+2%)^10</f>
        <v>118.44562447615723</v>
      </c>
      <c r="C90" s="107">
        <f>(SUM(N87:N89)*D9)*(1+2%)^10</f>
        <v>0</v>
      </c>
      <c r="D90" s="96">
        <f>SUM(S87:S89)</f>
        <v>0</v>
      </c>
      <c r="E90" s="108">
        <f>SUM(B90:D90)</f>
        <v>118.44562447615723</v>
      </c>
      <c r="F90" s="138">
        <f>SUM(V87:V89)</f>
        <v>1250.8525150612186</v>
      </c>
      <c r="G90" s="193"/>
      <c r="H90" s="76"/>
      <c r="I90" s="194"/>
      <c r="J90" s="77"/>
      <c r="K90" s="78"/>
      <c r="L90" s="78"/>
      <c r="M90" s="78"/>
      <c r="N90" s="78"/>
      <c r="O90" s="79"/>
      <c r="P90" s="195"/>
      <c r="Q90" s="196"/>
      <c r="R90" s="197"/>
      <c r="S90" s="198"/>
      <c r="T90" s="80"/>
      <c r="U90" s="199"/>
      <c r="V90" s="161"/>
    </row>
    <row r="91" spans="1:22" s="39" customFormat="1" ht="54" customHeight="1" x14ac:dyDescent="0.25">
      <c r="A91" s="317">
        <v>11</v>
      </c>
      <c r="B91" s="58"/>
      <c r="C91" s="58"/>
      <c r="D91" s="58"/>
      <c r="E91" s="59"/>
      <c r="F91" s="136"/>
      <c r="G91" s="122" t="s">
        <v>544</v>
      </c>
      <c r="H91" s="73" t="s">
        <v>537</v>
      </c>
      <c r="I91" s="190">
        <v>2036</v>
      </c>
      <c r="J91" s="115">
        <v>25</v>
      </c>
      <c r="K91" s="201">
        <v>1</v>
      </c>
      <c r="L91" s="201"/>
      <c r="M91" s="188">
        <f>J91*K91/60</f>
        <v>0.41666666666666669</v>
      </c>
      <c r="N91" s="188">
        <f>J91*L91/60</f>
        <v>0</v>
      </c>
      <c r="O91" s="82" t="s">
        <v>437</v>
      </c>
      <c r="P91" s="110"/>
      <c r="Q91" s="202"/>
      <c r="R91" s="116"/>
      <c r="S91" s="203"/>
      <c r="T91" s="75" t="s">
        <v>546</v>
      </c>
      <c r="U91" s="75" t="s">
        <v>415</v>
      </c>
      <c r="V91" s="162"/>
    </row>
    <row r="92" spans="1:22" s="39" customFormat="1" ht="145.5" customHeight="1" x14ac:dyDescent="0.25">
      <c r="A92" s="317">
        <v>11</v>
      </c>
      <c r="B92" s="58"/>
      <c r="C92" s="58"/>
      <c r="D92" s="58"/>
      <c r="E92" s="59"/>
      <c r="F92" s="136"/>
      <c r="G92" s="124" t="s">
        <v>439</v>
      </c>
      <c r="H92" s="206" t="s">
        <v>613</v>
      </c>
      <c r="I92" s="207">
        <v>2036</v>
      </c>
      <c r="J92" s="123">
        <f>240+140</f>
        <v>380</v>
      </c>
      <c r="K92" s="208">
        <v>1</v>
      </c>
      <c r="L92" s="208"/>
      <c r="M92" s="209">
        <f>J92*K92/60</f>
        <v>6.333333333333333</v>
      </c>
      <c r="N92" s="209">
        <f>J92*L92/60</f>
        <v>0</v>
      </c>
      <c r="O92" s="210" t="s">
        <v>612</v>
      </c>
      <c r="P92" s="211" t="s">
        <v>600</v>
      </c>
      <c r="Q92" s="210" t="s">
        <v>547</v>
      </c>
      <c r="R92" s="212" t="s">
        <v>476</v>
      </c>
      <c r="S92" s="213">
        <v>22</v>
      </c>
      <c r="T92" s="210" t="s">
        <v>630</v>
      </c>
      <c r="U92" s="214" t="s">
        <v>591</v>
      </c>
      <c r="V92" s="161">
        <f>((Futterlauberlöse!A25+Futterlauberlöse!E40)*(1+3%)^11)*2</f>
        <v>75.672189857667405</v>
      </c>
    </row>
    <row r="93" spans="1:22" s="39" customFormat="1" ht="45" customHeight="1" x14ac:dyDescent="0.25">
      <c r="A93" s="317">
        <v>11</v>
      </c>
      <c r="B93" s="58"/>
      <c r="C93" s="58"/>
      <c r="D93" s="58"/>
      <c r="E93" s="59"/>
      <c r="F93" s="136"/>
      <c r="G93" s="124"/>
      <c r="H93" s="206"/>
      <c r="I93" s="207">
        <v>2036</v>
      </c>
      <c r="J93" s="123"/>
      <c r="K93" s="208"/>
      <c r="L93" s="208"/>
      <c r="M93" s="209">
        <f>J93*K93/60</f>
        <v>0</v>
      </c>
      <c r="N93" s="209">
        <f>J93*L93/60</f>
        <v>0</v>
      </c>
      <c r="O93" s="210"/>
      <c r="P93" s="211"/>
      <c r="Q93" s="210" t="s">
        <v>548</v>
      </c>
      <c r="R93" s="212" t="s">
        <v>598</v>
      </c>
      <c r="S93" s="213">
        <f>35*2</f>
        <v>70</v>
      </c>
      <c r="T93" s="210" t="s">
        <v>614</v>
      </c>
      <c r="U93" s="214" t="s">
        <v>415</v>
      </c>
      <c r="V93" s="161"/>
    </row>
    <row r="94" spans="1:22" s="39" customFormat="1" ht="111" customHeight="1" thickBot="1" x14ac:dyDescent="0.3">
      <c r="A94" s="317">
        <v>11</v>
      </c>
      <c r="B94" s="58"/>
      <c r="C94" s="58"/>
      <c r="D94" s="58"/>
      <c r="E94" s="59"/>
      <c r="F94" s="136"/>
      <c r="G94" s="124" t="s">
        <v>570</v>
      </c>
      <c r="H94" s="206" t="s">
        <v>608</v>
      </c>
      <c r="I94" s="207">
        <v>2036</v>
      </c>
      <c r="J94" s="123"/>
      <c r="K94" s="208"/>
      <c r="L94" s="208"/>
      <c r="M94" s="209">
        <f>J94*K94/60</f>
        <v>0</v>
      </c>
      <c r="N94" s="209">
        <f>J94*L94/60</f>
        <v>0</v>
      </c>
      <c r="O94" s="210" t="s">
        <v>610</v>
      </c>
      <c r="P94" s="211"/>
      <c r="Q94" s="210"/>
      <c r="R94" s="212"/>
      <c r="S94" s="213"/>
      <c r="T94" s="210" t="s">
        <v>611</v>
      </c>
      <c r="U94" s="214" t="s">
        <v>609</v>
      </c>
      <c r="V94" s="161">
        <f>(22*20+13.9*40)*(1+2%)^11</f>
        <v>1238.4008111610733</v>
      </c>
    </row>
    <row r="95" spans="1:22" s="81" customFormat="1" ht="36" customHeight="1" thickBot="1" x14ac:dyDescent="0.3">
      <c r="A95" s="95">
        <v>11</v>
      </c>
      <c r="B95" s="107">
        <f>(SUM(M91:M94)*D8)*(1+2%)^11</f>
        <v>184.64108479660584</v>
      </c>
      <c r="C95" s="107">
        <f>(SUM(N91:N94)*D9)*(1+2%)^11</f>
        <v>0</v>
      </c>
      <c r="D95" s="96">
        <f>SUM(S91:S94)</f>
        <v>92</v>
      </c>
      <c r="E95" s="108">
        <f>SUM(B95:D95)</f>
        <v>276.64108479660581</v>
      </c>
      <c r="F95" s="138">
        <f>SUM(V91:V94)</f>
        <v>1314.0730010187408</v>
      </c>
      <c r="G95" s="193"/>
      <c r="H95" s="76"/>
      <c r="I95" s="194"/>
      <c r="J95" s="77"/>
      <c r="K95" s="78"/>
      <c r="L95" s="78"/>
      <c r="M95" s="78"/>
      <c r="N95" s="78"/>
      <c r="O95" s="79"/>
      <c r="P95" s="195"/>
      <c r="Q95" s="196"/>
      <c r="R95" s="197"/>
      <c r="S95" s="198"/>
      <c r="T95" s="80"/>
      <c r="U95" s="199"/>
      <c r="V95" s="161"/>
    </row>
    <row r="96" spans="1:22" s="39" customFormat="1" ht="54" customHeight="1" x14ac:dyDescent="0.25">
      <c r="A96" s="317">
        <v>12</v>
      </c>
      <c r="B96" s="58"/>
      <c r="C96" s="58"/>
      <c r="D96" s="58"/>
      <c r="E96" s="59"/>
      <c r="F96" s="136"/>
      <c r="G96" s="122" t="s">
        <v>544</v>
      </c>
      <c r="H96" s="73" t="s">
        <v>537</v>
      </c>
      <c r="I96" s="190">
        <v>2037</v>
      </c>
      <c r="J96" s="115">
        <v>25</v>
      </c>
      <c r="K96" s="201">
        <v>1</v>
      </c>
      <c r="L96" s="201"/>
      <c r="M96" s="188">
        <f>J96*K96/60</f>
        <v>0.41666666666666669</v>
      </c>
      <c r="N96" s="188">
        <f>J96*L96/60</f>
        <v>0</v>
      </c>
      <c r="O96" s="82" t="s">
        <v>437</v>
      </c>
      <c r="P96" s="110"/>
      <c r="Q96" s="202"/>
      <c r="R96" s="116"/>
      <c r="S96" s="203"/>
      <c r="T96" s="75" t="s">
        <v>546</v>
      </c>
      <c r="U96" s="75" t="s">
        <v>415</v>
      </c>
      <c r="V96" s="162"/>
    </row>
    <row r="97" spans="1:22" s="39" customFormat="1" ht="109.5" customHeight="1" x14ac:dyDescent="0.25">
      <c r="A97" s="317">
        <v>12</v>
      </c>
      <c r="B97" s="58"/>
      <c r="C97" s="58"/>
      <c r="D97" s="58"/>
      <c r="E97" s="59"/>
      <c r="F97" s="136"/>
      <c r="G97" s="124" t="s">
        <v>439</v>
      </c>
      <c r="H97" s="206" t="s">
        <v>615</v>
      </c>
      <c r="I97" s="207">
        <v>2037</v>
      </c>
      <c r="J97" s="123">
        <v>240</v>
      </c>
      <c r="K97" s="208">
        <v>1</v>
      </c>
      <c r="L97" s="208"/>
      <c r="M97" s="209">
        <f>J97*K97/60</f>
        <v>4</v>
      </c>
      <c r="N97" s="209">
        <f>J97*L97/60</f>
        <v>0</v>
      </c>
      <c r="O97" s="210" t="s">
        <v>616</v>
      </c>
      <c r="P97" s="211" t="s">
        <v>617</v>
      </c>
      <c r="Q97" s="210"/>
      <c r="R97" s="212"/>
      <c r="S97" s="213"/>
      <c r="T97" s="210" t="s">
        <v>631</v>
      </c>
      <c r="U97" s="214" t="s">
        <v>591</v>
      </c>
      <c r="V97" s="161">
        <f>(Futterlauberlöse!A25+Futterlauberlöse!E40)*(1+3%)^12</f>
        <v>38.97117777669871</v>
      </c>
    </row>
    <row r="98" spans="1:22" s="39" customFormat="1" ht="129.75" customHeight="1" thickBot="1" x14ac:dyDescent="0.3">
      <c r="A98" s="317">
        <v>12</v>
      </c>
      <c r="B98" s="58"/>
      <c r="C98" s="58"/>
      <c r="D98" s="58"/>
      <c r="E98" s="59"/>
      <c r="F98" s="136"/>
      <c r="G98" s="124" t="s">
        <v>570</v>
      </c>
      <c r="H98" s="206" t="s">
        <v>608</v>
      </c>
      <c r="I98" s="207">
        <v>2037</v>
      </c>
      <c r="J98" s="123"/>
      <c r="K98" s="208"/>
      <c r="L98" s="208"/>
      <c r="M98" s="209">
        <f>J98*K98/60</f>
        <v>0</v>
      </c>
      <c r="N98" s="209">
        <f>J98*L98/60</f>
        <v>0</v>
      </c>
      <c r="O98" s="210" t="s">
        <v>610</v>
      </c>
      <c r="P98" s="211"/>
      <c r="Q98" s="210"/>
      <c r="R98" s="212"/>
      <c r="S98" s="213"/>
      <c r="T98" s="210" t="s">
        <v>611</v>
      </c>
      <c r="U98" s="214" t="s">
        <v>609</v>
      </c>
      <c r="V98" s="161">
        <f>(22*20+13.9*40)*(1+2%)^12</f>
        <v>1263.1688273842951</v>
      </c>
    </row>
    <row r="99" spans="1:22" s="81" customFormat="1" ht="36" customHeight="1" thickBot="1" x14ac:dyDescent="0.3">
      <c r="A99" s="95">
        <v>12</v>
      </c>
      <c r="B99" s="107">
        <f>(SUM(M96:M98)*D8)*(1+2%)^12</f>
        <v>123.23082770499398</v>
      </c>
      <c r="C99" s="107">
        <f>(SUM(N96:N98)*D9)*(1+2%)^12</f>
        <v>0</v>
      </c>
      <c r="D99" s="96">
        <f>SUM(S96:S98)</f>
        <v>0</v>
      </c>
      <c r="E99" s="108">
        <f>SUM(B99:D99)</f>
        <v>123.23082770499398</v>
      </c>
      <c r="F99" s="138">
        <f>SUM(V96:V98)</f>
        <v>1302.140005160994</v>
      </c>
      <c r="G99" s="193"/>
      <c r="H99" s="76"/>
      <c r="I99" s="194"/>
      <c r="J99" s="77"/>
      <c r="K99" s="78"/>
      <c r="L99" s="78"/>
      <c r="M99" s="78"/>
      <c r="N99" s="78"/>
      <c r="O99" s="79"/>
      <c r="P99" s="195"/>
      <c r="Q99" s="196"/>
      <c r="R99" s="197"/>
      <c r="S99" s="198"/>
      <c r="T99" s="80"/>
      <c r="U99" s="199"/>
      <c r="V99" s="161"/>
    </row>
    <row r="100" spans="1:22" s="39" customFormat="1" ht="54" customHeight="1" x14ac:dyDescent="0.25">
      <c r="A100" s="317">
        <v>13</v>
      </c>
      <c r="B100" s="58"/>
      <c r="C100" s="58"/>
      <c r="D100" s="58"/>
      <c r="E100" s="59"/>
      <c r="F100" s="136"/>
      <c r="G100" s="122" t="s">
        <v>544</v>
      </c>
      <c r="H100" s="73" t="s">
        <v>537</v>
      </c>
      <c r="I100" s="190">
        <v>2038</v>
      </c>
      <c r="J100" s="115">
        <v>25</v>
      </c>
      <c r="K100" s="201">
        <v>1</v>
      </c>
      <c r="L100" s="201"/>
      <c r="M100" s="188">
        <f>J100*K100/60</f>
        <v>0.41666666666666669</v>
      </c>
      <c r="N100" s="188">
        <f>J100*L100/60</f>
        <v>0</v>
      </c>
      <c r="O100" s="82" t="s">
        <v>437</v>
      </c>
      <c r="P100" s="110"/>
      <c r="Q100" s="202"/>
      <c r="R100" s="116"/>
      <c r="S100" s="203"/>
      <c r="T100" s="75" t="s">
        <v>546</v>
      </c>
      <c r="U100" s="75" t="s">
        <v>415</v>
      </c>
      <c r="V100" s="162"/>
    </row>
    <row r="101" spans="1:22" s="39" customFormat="1" ht="105.75" customHeight="1" x14ac:dyDescent="0.25">
      <c r="A101" s="317">
        <v>13</v>
      </c>
      <c r="B101" s="58"/>
      <c r="C101" s="58"/>
      <c r="D101" s="58"/>
      <c r="E101" s="59"/>
      <c r="F101" s="136"/>
      <c r="G101" s="124" t="s">
        <v>439</v>
      </c>
      <c r="H101" s="206" t="s">
        <v>615</v>
      </c>
      <c r="I101" s="207">
        <v>2038</v>
      </c>
      <c r="J101" s="123">
        <v>240</v>
      </c>
      <c r="K101" s="208">
        <v>1</v>
      </c>
      <c r="L101" s="208"/>
      <c r="M101" s="209">
        <f>J101*K101/60</f>
        <v>4</v>
      </c>
      <c r="N101" s="209">
        <f>J101*L101/60</f>
        <v>0</v>
      </c>
      <c r="O101" s="210" t="s">
        <v>616</v>
      </c>
      <c r="P101" s="211" t="s">
        <v>617</v>
      </c>
      <c r="Q101" s="210"/>
      <c r="R101" s="212"/>
      <c r="S101" s="213"/>
      <c r="T101" s="210" t="s">
        <v>631</v>
      </c>
      <c r="U101" s="214" t="s">
        <v>591</v>
      </c>
      <c r="V101" s="161">
        <f>(Futterlauberlöse!A25+Futterlauberlöse!E40)*(1+3%)^13</f>
        <v>40.140313109999667</v>
      </c>
    </row>
    <row r="102" spans="1:22" s="39" customFormat="1" ht="138.75" customHeight="1" thickBot="1" x14ac:dyDescent="0.3">
      <c r="A102" s="317">
        <v>13</v>
      </c>
      <c r="B102" s="58"/>
      <c r="C102" s="58"/>
      <c r="D102" s="58"/>
      <c r="E102" s="59"/>
      <c r="F102" s="136"/>
      <c r="G102" s="124" t="s">
        <v>570</v>
      </c>
      <c r="H102" s="206" t="s">
        <v>608</v>
      </c>
      <c r="I102" s="207">
        <v>2038</v>
      </c>
      <c r="J102" s="123"/>
      <c r="K102" s="208"/>
      <c r="L102" s="208"/>
      <c r="M102" s="209">
        <f>J102*K102/60</f>
        <v>0</v>
      </c>
      <c r="N102" s="209">
        <f>J102*L102/60</f>
        <v>0</v>
      </c>
      <c r="O102" s="210" t="s">
        <v>610</v>
      </c>
      <c r="P102" s="211"/>
      <c r="Q102" s="210"/>
      <c r="R102" s="212"/>
      <c r="S102" s="213"/>
      <c r="T102" s="210" t="s">
        <v>611</v>
      </c>
      <c r="U102" s="214" t="s">
        <v>609</v>
      </c>
      <c r="V102" s="161">
        <f>(22*20+13.9*40)*(1+2%)^13</f>
        <v>1288.4322039319809</v>
      </c>
    </row>
    <row r="103" spans="1:22" s="81" customFormat="1" ht="36" customHeight="1" thickBot="1" x14ac:dyDescent="0.3">
      <c r="A103" s="95">
        <v>13</v>
      </c>
      <c r="B103" s="107">
        <f>(SUM(M100:M102)*D8)*(1+2%)^13</f>
        <v>125.69544425909386</v>
      </c>
      <c r="C103" s="107">
        <f>(SUM(N100:N102)*D9)*(1+2%)^13</f>
        <v>0</v>
      </c>
      <c r="D103" s="96">
        <f>SUM(S100:S102)</f>
        <v>0</v>
      </c>
      <c r="E103" s="108">
        <f>SUM(B103:D103)</f>
        <v>125.69544425909386</v>
      </c>
      <c r="F103" s="138">
        <f>SUM(V100:V102)</f>
        <v>1328.5725170419805</v>
      </c>
      <c r="G103" s="193"/>
      <c r="H103" s="76"/>
      <c r="I103" s="194"/>
      <c r="J103" s="77"/>
      <c r="K103" s="78"/>
      <c r="L103" s="78"/>
      <c r="M103" s="78"/>
      <c r="N103" s="78"/>
      <c r="O103" s="79"/>
      <c r="P103" s="195"/>
      <c r="Q103" s="196"/>
      <c r="R103" s="197"/>
      <c r="S103" s="198"/>
      <c r="T103" s="80"/>
      <c r="U103" s="199"/>
      <c r="V103" s="161"/>
    </row>
    <row r="104" spans="1:22" s="39" customFormat="1" ht="54" customHeight="1" x14ac:dyDescent="0.25">
      <c r="A104" s="317">
        <v>14</v>
      </c>
      <c r="B104" s="58"/>
      <c r="C104" s="58"/>
      <c r="D104" s="58"/>
      <c r="E104" s="59"/>
      <c r="F104" s="136"/>
      <c r="G104" s="122" t="s">
        <v>544</v>
      </c>
      <c r="H104" s="73" t="s">
        <v>537</v>
      </c>
      <c r="I104" s="190">
        <v>2039</v>
      </c>
      <c r="J104" s="115">
        <v>25</v>
      </c>
      <c r="K104" s="201">
        <v>1</v>
      </c>
      <c r="L104" s="201"/>
      <c r="M104" s="188">
        <f>J104*K104/60</f>
        <v>0.41666666666666669</v>
      </c>
      <c r="N104" s="188">
        <f>J104*L104/60</f>
        <v>0</v>
      </c>
      <c r="O104" s="82" t="s">
        <v>437</v>
      </c>
      <c r="P104" s="110"/>
      <c r="Q104" s="202"/>
      <c r="R104" s="116"/>
      <c r="S104" s="203"/>
      <c r="T104" s="75" t="s">
        <v>546</v>
      </c>
      <c r="U104" s="75" t="s">
        <v>415</v>
      </c>
      <c r="V104" s="162"/>
    </row>
    <row r="105" spans="1:22" s="39" customFormat="1" ht="113.25" customHeight="1" x14ac:dyDescent="0.25">
      <c r="A105" s="317">
        <v>14</v>
      </c>
      <c r="B105" s="58"/>
      <c r="C105" s="58"/>
      <c r="D105" s="58"/>
      <c r="E105" s="59"/>
      <c r="F105" s="136"/>
      <c r="G105" s="124" t="s">
        <v>439</v>
      </c>
      <c r="H105" s="206" t="s">
        <v>613</v>
      </c>
      <c r="I105" s="207">
        <v>2039</v>
      </c>
      <c r="J105" s="123">
        <f>240+140</f>
        <v>380</v>
      </c>
      <c r="K105" s="208">
        <v>1</v>
      </c>
      <c r="L105" s="208"/>
      <c r="M105" s="209">
        <f>J105*K105/60</f>
        <v>6.333333333333333</v>
      </c>
      <c r="N105" s="209">
        <f>J105*L105/60</f>
        <v>0</v>
      </c>
      <c r="O105" s="210" t="s">
        <v>612</v>
      </c>
      <c r="P105" s="211" t="s">
        <v>600</v>
      </c>
      <c r="Q105" s="210" t="s">
        <v>547</v>
      </c>
      <c r="R105" s="212" t="s">
        <v>476</v>
      </c>
      <c r="S105" s="213">
        <v>22</v>
      </c>
      <c r="T105" s="210" t="s">
        <v>630</v>
      </c>
      <c r="U105" s="214" t="s">
        <v>591</v>
      </c>
      <c r="V105" s="161">
        <f>((Futterlauberlöse!A25+Futterlauberlöse!E40)*(1+3%)^14)*2</f>
        <v>82.689045006599329</v>
      </c>
    </row>
    <row r="106" spans="1:22" s="39" customFormat="1" ht="48" customHeight="1" x14ac:dyDescent="0.25">
      <c r="A106" s="317">
        <v>14</v>
      </c>
      <c r="B106" s="58"/>
      <c r="C106" s="58"/>
      <c r="D106" s="58"/>
      <c r="E106" s="59"/>
      <c r="F106" s="136"/>
      <c r="G106" s="124"/>
      <c r="H106" s="206"/>
      <c r="I106" s="207">
        <v>2039</v>
      </c>
      <c r="J106" s="123"/>
      <c r="K106" s="208"/>
      <c r="L106" s="208"/>
      <c r="M106" s="209">
        <f>J106*K106/60</f>
        <v>0</v>
      </c>
      <c r="N106" s="209">
        <f>J106*L106/60</f>
        <v>0</v>
      </c>
      <c r="O106" s="210"/>
      <c r="P106" s="211"/>
      <c r="Q106" s="210" t="s">
        <v>548</v>
      </c>
      <c r="R106" s="212" t="s">
        <v>598</v>
      </c>
      <c r="S106" s="213">
        <f>35*2</f>
        <v>70</v>
      </c>
      <c r="T106" s="210" t="s">
        <v>614</v>
      </c>
      <c r="U106" s="214" t="s">
        <v>415</v>
      </c>
      <c r="V106" s="161"/>
    </row>
    <row r="107" spans="1:22" s="39" customFormat="1" ht="125.25" customHeight="1" thickBot="1" x14ac:dyDescent="0.3">
      <c r="A107" s="317">
        <v>14</v>
      </c>
      <c r="B107" s="58"/>
      <c r="C107" s="58"/>
      <c r="D107" s="58"/>
      <c r="E107" s="59"/>
      <c r="F107" s="136"/>
      <c r="G107" s="124" t="s">
        <v>570</v>
      </c>
      <c r="H107" s="206" t="s">
        <v>608</v>
      </c>
      <c r="I107" s="207">
        <v>2039</v>
      </c>
      <c r="J107" s="123"/>
      <c r="K107" s="208"/>
      <c r="L107" s="208"/>
      <c r="M107" s="209">
        <f>J107*K107/60</f>
        <v>0</v>
      </c>
      <c r="N107" s="209">
        <f>J107*L107/60</f>
        <v>0</v>
      </c>
      <c r="O107" s="210" t="s">
        <v>610</v>
      </c>
      <c r="P107" s="211"/>
      <c r="Q107" s="210"/>
      <c r="R107" s="212"/>
      <c r="S107" s="213"/>
      <c r="T107" s="210" t="s">
        <v>611</v>
      </c>
      <c r="U107" s="214" t="s">
        <v>609</v>
      </c>
      <c r="V107" s="161">
        <f>(22*20+13.9*40)*(1+2%)^14</f>
        <v>1314.2008480106206</v>
      </c>
    </row>
    <row r="108" spans="1:22" s="81" customFormat="1" ht="36" customHeight="1" thickBot="1" x14ac:dyDescent="0.3">
      <c r="A108" s="95">
        <v>14</v>
      </c>
      <c r="B108" s="107">
        <f>(SUM(M104:M107)*D8)*(1+2%)^14</f>
        <v>195.94259631483652</v>
      </c>
      <c r="C108" s="107">
        <f>(SUM(N104:N107)*D9)*(1+2%)^14</f>
        <v>0</v>
      </c>
      <c r="D108" s="96">
        <f>SUM(S104:S107)</f>
        <v>92</v>
      </c>
      <c r="E108" s="108">
        <f>SUM(B108:D108)</f>
        <v>287.94259631483652</v>
      </c>
      <c r="F108" s="138">
        <f>SUM(V104:V107)</f>
        <v>1396.8898930172199</v>
      </c>
      <c r="G108" s="193"/>
      <c r="H108" s="76"/>
      <c r="I108" s="194"/>
      <c r="J108" s="77"/>
      <c r="K108" s="78"/>
      <c r="L108" s="78"/>
      <c r="M108" s="78"/>
      <c r="N108" s="78"/>
      <c r="O108" s="79"/>
      <c r="P108" s="195"/>
      <c r="Q108" s="196"/>
      <c r="R108" s="197"/>
      <c r="S108" s="198"/>
      <c r="T108" s="80"/>
      <c r="U108" s="199"/>
      <c r="V108" s="161"/>
    </row>
    <row r="109" spans="1:22" s="39" customFormat="1" ht="54" customHeight="1" x14ac:dyDescent="0.25">
      <c r="A109" s="317">
        <v>15</v>
      </c>
      <c r="B109" s="58"/>
      <c r="C109" s="58"/>
      <c r="D109" s="58"/>
      <c r="E109" s="59"/>
      <c r="F109" s="136"/>
      <c r="G109" s="122" t="s">
        <v>544</v>
      </c>
      <c r="H109" s="73" t="s">
        <v>537</v>
      </c>
      <c r="I109" s="190">
        <v>2040</v>
      </c>
      <c r="J109" s="115">
        <v>25</v>
      </c>
      <c r="K109" s="201">
        <v>1</v>
      </c>
      <c r="L109" s="201"/>
      <c r="M109" s="188">
        <f>J109*K109/60</f>
        <v>0.41666666666666669</v>
      </c>
      <c r="N109" s="188">
        <f>J109*L109/60</f>
        <v>0</v>
      </c>
      <c r="O109" s="82" t="s">
        <v>437</v>
      </c>
      <c r="P109" s="110"/>
      <c r="Q109" s="202"/>
      <c r="R109" s="116"/>
      <c r="S109" s="203"/>
      <c r="T109" s="75" t="s">
        <v>546</v>
      </c>
      <c r="U109" s="75" t="s">
        <v>415</v>
      </c>
      <c r="V109" s="162"/>
    </row>
    <row r="110" spans="1:22" s="39" customFormat="1" ht="104.25" customHeight="1" x14ac:dyDescent="0.25">
      <c r="A110" s="317">
        <v>15</v>
      </c>
      <c r="B110" s="58"/>
      <c r="C110" s="58"/>
      <c r="D110" s="58"/>
      <c r="E110" s="59"/>
      <c r="F110" s="136"/>
      <c r="G110" s="124" t="s">
        <v>439</v>
      </c>
      <c r="H110" s="206" t="s">
        <v>615</v>
      </c>
      <c r="I110" s="207">
        <v>2040</v>
      </c>
      <c r="J110" s="123">
        <v>240</v>
      </c>
      <c r="K110" s="208">
        <v>1</v>
      </c>
      <c r="L110" s="208"/>
      <c r="M110" s="209">
        <f>J110*K110/60</f>
        <v>4</v>
      </c>
      <c r="N110" s="209">
        <f>J110*L110/60</f>
        <v>0</v>
      </c>
      <c r="O110" s="210" t="s">
        <v>616</v>
      </c>
      <c r="P110" s="211" t="s">
        <v>617</v>
      </c>
      <c r="Q110" s="210"/>
      <c r="R110" s="212"/>
      <c r="S110" s="213"/>
      <c r="T110" s="210" t="s">
        <v>631</v>
      </c>
      <c r="U110" s="214" t="s">
        <v>591</v>
      </c>
      <c r="V110" s="161">
        <f>(Futterlauberlöse!A25+Futterlauberlöse!E41)*(1+3%)^15</f>
        <v>49.547102969704163</v>
      </c>
    </row>
    <row r="111" spans="1:22" s="39" customFormat="1" ht="126.75" customHeight="1" thickBot="1" x14ac:dyDescent="0.3">
      <c r="A111" s="317">
        <v>15</v>
      </c>
      <c r="B111" s="58"/>
      <c r="C111" s="58"/>
      <c r="D111" s="58"/>
      <c r="E111" s="59"/>
      <c r="F111" s="136"/>
      <c r="G111" s="124" t="s">
        <v>570</v>
      </c>
      <c r="H111" s="206" t="s">
        <v>608</v>
      </c>
      <c r="I111" s="207">
        <v>2040</v>
      </c>
      <c r="J111" s="123"/>
      <c r="K111" s="208"/>
      <c r="L111" s="208"/>
      <c r="M111" s="209">
        <f>J111*K111/60</f>
        <v>0</v>
      </c>
      <c r="N111" s="209">
        <f>J111*L111/60</f>
        <v>0</v>
      </c>
      <c r="O111" s="210" t="s">
        <v>610</v>
      </c>
      <c r="P111" s="211"/>
      <c r="Q111" s="210"/>
      <c r="R111" s="212"/>
      <c r="S111" s="213"/>
      <c r="T111" s="210" t="s">
        <v>611</v>
      </c>
      <c r="U111" s="214" t="s">
        <v>609</v>
      </c>
      <c r="V111" s="161">
        <f>(22*20+13.9*40)*(1+2%)^15</f>
        <v>1340.4848649708326</v>
      </c>
    </row>
    <row r="112" spans="1:22" s="81" customFormat="1" ht="36" customHeight="1" thickBot="1" x14ac:dyDescent="0.3">
      <c r="A112" s="95">
        <v>15</v>
      </c>
      <c r="B112" s="107">
        <f>(SUM(M109:M111)*D8)*(1+2%)^15</f>
        <v>130.77354020716123</v>
      </c>
      <c r="C112" s="107">
        <f>(SUM(N109:N111)*D9)*(1+2%)^15</f>
        <v>0</v>
      </c>
      <c r="D112" s="96">
        <f>SUM(S109:S111)</f>
        <v>0</v>
      </c>
      <c r="E112" s="108">
        <f>SUM(B112:D112)</f>
        <v>130.77354020716123</v>
      </c>
      <c r="F112" s="138">
        <f>SUM(V109:V111)</f>
        <v>1390.0319679405368</v>
      </c>
      <c r="G112" s="193"/>
      <c r="H112" s="76"/>
      <c r="I112" s="194"/>
      <c r="J112" s="77"/>
      <c r="K112" s="78"/>
      <c r="L112" s="78"/>
      <c r="M112" s="78"/>
      <c r="N112" s="78"/>
      <c r="O112" s="79"/>
      <c r="P112" s="195"/>
      <c r="Q112" s="196"/>
      <c r="R112" s="197"/>
      <c r="S112" s="198"/>
      <c r="T112" s="80"/>
      <c r="U112" s="199"/>
      <c r="V112" s="161"/>
    </row>
    <row r="113" spans="1:22" s="39" customFormat="1" ht="54" customHeight="1" x14ac:dyDescent="0.25">
      <c r="A113" s="317">
        <v>16</v>
      </c>
      <c r="B113" s="58"/>
      <c r="C113" s="58"/>
      <c r="D113" s="58"/>
      <c r="E113" s="59"/>
      <c r="F113" s="136"/>
      <c r="G113" s="122" t="s">
        <v>544</v>
      </c>
      <c r="H113" s="73" t="s">
        <v>537</v>
      </c>
      <c r="I113" s="190">
        <v>2041</v>
      </c>
      <c r="J113" s="115">
        <v>25</v>
      </c>
      <c r="K113" s="201">
        <v>1</v>
      </c>
      <c r="L113" s="201"/>
      <c r="M113" s="188">
        <f>J113*K113/60</f>
        <v>0.41666666666666669</v>
      </c>
      <c r="N113" s="188">
        <f>J113*L113/60</f>
        <v>0</v>
      </c>
      <c r="O113" s="82" t="s">
        <v>437</v>
      </c>
      <c r="P113" s="110"/>
      <c r="Q113" s="202"/>
      <c r="R113" s="116"/>
      <c r="S113" s="203"/>
      <c r="T113" s="75" t="s">
        <v>546</v>
      </c>
      <c r="U113" s="75" t="s">
        <v>415</v>
      </c>
      <c r="V113" s="162"/>
    </row>
    <row r="114" spans="1:22" s="39" customFormat="1" ht="101.25" customHeight="1" x14ac:dyDescent="0.25">
      <c r="A114" s="317">
        <v>16</v>
      </c>
      <c r="B114" s="58"/>
      <c r="C114" s="58"/>
      <c r="D114" s="58"/>
      <c r="E114" s="59"/>
      <c r="F114" s="136"/>
      <c r="G114" s="124" t="s">
        <v>439</v>
      </c>
      <c r="H114" s="206" t="s">
        <v>615</v>
      </c>
      <c r="I114" s="207">
        <v>2041</v>
      </c>
      <c r="J114" s="123">
        <v>240</v>
      </c>
      <c r="K114" s="208">
        <v>1</v>
      </c>
      <c r="L114" s="208"/>
      <c r="M114" s="209">
        <f>J114*K114/60</f>
        <v>4</v>
      </c>
      <c r="N114" s="209">
        <f>J114*L114/60</f>
        <v>0</v>
      </c>
      <c r="O114" s="210" t="s">
        <v>616</v>
      </c>
      <c r="P114" s="211" t="s">
        <v>617</v>
      </c>
      <c r="Q114" s="210"/>
      <c r="R114" s="212"/>
      <c r="S114" s="213"/>
      <c r="T114" s="210" t="s">
        <v>631</v>
      </c>
      <c r="U114" s="214" t="s">
        <v>591</v>
      </c>
      <c r="V114" s="161">
        <f>(Futterlauberlöse!A25+Futterlauberlöse!E41)*(1+3%)^16</f>
        <v>51.033516058795279</v>
      </c>
    </row>
    <row r="115" spans="1:22" s="39" customFormat="1" ht="129" customHeight="1" thickBot="1" x14ac:dyDescent="0.3">
      <c r="A115" s="317">
        <v>16</v>
      </c>
      <c r="B115" s="58"/>
      <c r="C115" s="58"/>
      <c r="D115" s="58"/>
      <c r="E115" s="59"/>
      <c r="F115" s="136"/>
      <c r="G115" s="124" t="s">
        <v>570</v>
      </c>
      <c r="H115" s="206" t="s">
        <v>608</v>
      </c>
      <c r="I115" s="207">
        <v>2041</v>
      </c>
      <c r="J115" s="123"/>
      <c r="K115" s="208"/>
      <c r="L115" s="208"/>
      <c r="M115" s="209">
        <f>J115*K115/60</f>
        <v>0</v>
      </c>
      <c r="N115" s="209">
        <f>J115*L115/60</f>
        <v>0</v>
      </c>
      <c r="O115" s="210" t="s">
        <v>610</v>
      </c>
      <c r="P115" s="211"/>
      <c r="Q115" s="210"/>
      <c r="R115" s="212"/>
      <c r="S115" s="213"/>
      <c r="T115" s="210" t="s">
        <v>611</v>
      </c>
      <c r="U115" s="214" t="s">
        <v>609</v>
      </c>
      <c r="V115" s="161">
        <f>(22*20+13.9*40)*(1+2%)^16</f>
        <v>1367.2945622702496</v>
      </c>
    </row>
    <row r="116" spans="1:22" s="81" customFormat="1" ht="36" customHeight="1" thickBot="1" x14ac:dyDescent="0.3">
      <c r="A116" s="95">
        <v>16</v>
      </c>
      <c r="B116" s="107">
        <f>(SUM(M113:M115)*D8)*(1+2%)^16</f>
        <v>133.38901101130449</v>
      </c>
      <c r="C116" s="107">
        <f>(SUM(N113:N115)*D9)*(1+2%)^16</f>
        <v>0</v>
      </c>
      <c r="D116" s="96">
        <f>SUM(S113:S115)</f>
        <v>0</v>
      </c>
      <c r="E116" s="108">
        <f>SUM(B116:D116)</f>
        <v>133.38901101130449</v>
      </c>
      <c r="F116" s="138">
        <f>SUM(V113:V115)</f>
        <v>1418.328078329045</v>
      </c>
      <c r="G116" s="193"/>
      <c r="H116" s="76"/>
      <c r="I116" s="194"/>
      <c r="J116" s="77"/>
      <c r="K116" s="78"/>
      <c r="L116" s="78"/>
      <c r="M116" s="78"/>
      <c r="N116" s="78"/>
      <c r="O116" s="79"/>
      <c r="P116" s="195"/>
      <c r="Q116" s="196"/>
      <c r="R116" s="197"/>
      <c r="S116" s="198"/>
      <c r="T116" s="80"/>
      <c r="U116" s="199"/>
      <c r="V116" s="161"/>
    </row>
    <row r="117" spans="1:22" s="39" customFormat="1" ht="54" customHeight="1" x14ac:dyDescent="0.25">
      <c r="A117" s="317">
        <v>17</v>
      </c>
      <c r="B117" s="58"/>
      <c r="C117" s="58"/>
      <c r="D117" s="58"/>
      <c r="E117" s="59"/>
      <c r="F117" s="136"/>
      <c r="G117" s="122" t="s">
        <v>544</v>
      </c>
      <c r="H117" s="73" t="s">
        <v>537</v>
      </c>
      <c r="I117" s="190">
        <v>2042</v>
      </c>
      <c r="J117" s="115">
        <v>25</v>
      </c>
      <c r="K117" s="201">
        <v>1</v>
      </c>
      <c r="L117" s="201"/>
      <c r="M117" s="188">
        <f>J117*K117/60</f>
        <v>0.41666666666666669</v>
      </c>
      <c r="N117" s="188">
        <f>J117*L117/60</f>
        <v>0</v>
      </c>
      <c r="O117" s="82" t="s">
        <v>437</v>
      </c>
      <c r="P117" s="110"/>
      <c r="Q117" s="202"/>
      <c r="R117" s="116"/>
      <c r="S117" s="203"/>
      <c r="T117" s="75" t="s">
        <v>546</v>
      </c>
      <c r="U117" s="75" t="s">
        <v>415</v>
      </c>
      <c r="V117" s="162"/>
    </row>
    <row r="118" spans="1:22" s="39" customFormat="1" ht="106.5" customHeight="1" x14ac:dyDescent="0.25">
      <c r="A118" s="317">
        <v>17</v>
      </c>
      <c r="B118" s="58"/>
      <c r="C118" s="58"/>
      <c r="D118" s="58"/>
      <c r="E118" s="59"/>
      <c r="F118" s="136"/>
      <c r="G118" s="124" t="s">
        <v>439</v>
      </c>
      <c r="H118" s="206" t="s">
        <v>613</v>
      </c>
      <c r="I118" s="207">
        <v>2042</v>
      </c>
      <c r="J118" s="123">
        <f>240+140</f>
        <v>380</v>
      </c>
      <c r="K118" s="208">
        <v>1</v>
      </c>
      <c r="L118" s="208"/>
      <c r="M118" s="209">
        <f>J118*K118/60</f>
        <v>6.333333333333333</v>
      </c>
      <c r="N118" s="209">
        <f>J118*L118/60</f>
        <v>0</v>
      </c>
      <c r="O118" s="210" t="s">
        <v>612</v>
      </c>
      <c r="P118" s="211" t="s">
        <v>600</v>
      </c>
      <c r="Q118" s="210" t="s">
        <v>547</v>
      </c>
      <c r="R118" s="212" t="s">
        <v>476</v>
      </c>
      <c r="S118" s="213">
        <v>22</v>
      </c>
      <c r="T118" s="210" t="s">
        <v>630</v>
      </c>
      <c r="U118" s="214" t="s">
        <v>591</v>
      </c>
      <c r="V118" s="161">
        <f>((Futterlauberlöse!A25+Futterlauberlöse!E41)*(1+3%)^17)*2</f>
        <v>105.12904308111827</v>
      </c>
    </row>
    <row r="119" spans="1:22" s="39" customFormat="1" ht="46.5" customHeight="1" x14ac:dyDescent="0.25">
      <c r="A119" s="317">
        <v>17</v>
      </c>
      <c r="B119" s="58"/>
      <c r="C119" s="58"/>
      <c r="D119" s="58"/>
      <c r="E119" s="59"/>
      <c r="F119" s="136"/>
      <c r="G119" s="124"/>
      <c r="H119" s="206"/>
      <c r="I119" s="207">
        <v>2042</v>
      </c>
      <c r="J119" s="123"/>
      <c r="K119" s="208"/>
      <c r="L119" s="208"/>
      <c r="M119" s="209">
        <f>J119*K119/60</f>
        <v>0</v>
      </c>
      <c r="N119" s="209">
        <f>J119*L119/60</f>
        <v>0</v>
      </c>
      <c r="O119" s="210"/>
      <c r="P119" s="211"/>
      <c r="Q119" s="210" t="s">
        <v>548</v>
      </c>
      <c r="R119" s="212" t="s">
        <v>598</v>
      </c>
      <c r="S119" s="213">
        <f>35*2</f>
        <v>70</v>
      </c>
      <c r="T119" s="210" t="s">
        <v>614</v>
      </c>
      <c r="U119" s="214" t="s">
        <v>415</v>
      </c>
      <c r="V119" s="161"/>
    </row>
    <row r="120" spans="1:22" s="39" customFormat="1" ht="116.25" customHeight="1" thickBot="1" x14ac:dyDescent="0.3">
      <c r="A120" s="317">
        <v>17</v>
      </c>
      <c r="B120" s="58"/>
      <c r="C120" s="58"/>
      <c r="D120" s="58"/>
      <c r="E120" s="59"/>
      <c r="F120" s="136"/>
      <c r="G120" s="124" t="s">
        <v>570</v>
      </c>
      <c r="H120" s="206" t="s">
        <v>608</v>
      </c>
      <c r="I120" s="207">
        <v>2042</v>
      </c>
      <c r="J120" s="123"/>
      <c r="K120" s="208"/>
      <c r="L120" s="208"/>
      <c r="M120" s="209">
        <f>J120*K120/60</f>
        <v>0</v>
      </c>
      <c r="N120" s="209">
        <f>J120*L120/60</f>
        <v>0</v>
      </c>
      <c r="O120" s="210" t="s">
        <v>610</v>
      </c>
      <c r="P120" s="211"/>
      <c r="Q120" s="210"/>
      <c r="R120" s="212"/>
      <c r="S120" s="213"/>
      <c r="T120" s="210" t="s">
        <v>611</v>
      </c>
      <c r="U120" s="214" t="s">
        <v>609</v>
      </c>
      <c r="V120" s="161">
        <f>(22*20+13.9*40)*(1+2%)^17</f>
        <v>1394.6404535156546</v>
      </c>
    </row>
    <row r="121" spans="1:22" s="81" customFormat="1" ht="36" customHeight="1" thickBot="1" x14ac:dyDescent="0.3">
      <c r="A121" s="95">
        <v>17</v>
      </c>
      <c r="B121" s="107">
        <f>(SUM(M117:M120)*D8)*(1+2%)^17</f>
        <v>207.93585075007502</v>
      </c>
      <c r="C121" s="107">
        <f>(SUM(N117:N120)*D9)*(1+2%)^17</f>
        <v>0</v>
      </c>
      <c r="D121" s="96">
        <f>SUM(S117:S120)</f>
        <v>92</v>
      </c>
      <c r="E121" s="108">
        <f>SUM(B121:D121)</f>
        <v>299.93585075007502</v>
      </c>
      <c r="F121" s="138">
        <f>SUM(V117:V120)</f>
        <v>1499.7694965967728</v>
      </c>
      <c r="G121" s="193"/>
      <c r="H121" s="76"/>
      <c r="I121" s="194"/>
      <c r="J121" s="77"/>
      <c r="K121" s="78"/>
      <c r="L121" s="78"/>
      <c r="M121" s="78"/>
      <c r="N121" s="78"/>
      <c r="O121" s="79"/>
      <c r="P121" s="195"/>
      <c r="Q121" s="196"/>
      <c r="R121" s="197"/>
      <c r="S121" s="198"/>
      <c r="T121" s="80"/>
      <c r="U121" s="199"/>
      <c r="V121" s="161"/>
    </row>
    <row r="122" spans="1:22" s="39" customFormat="1" ht="54" customHeight="1" x14ac:dyDescent="0.25">
      <c r="A122" s="317">
        <v>18</v>
      </c>
      <c r="B122" s="58"/>
      <c r="C122" s="58"/>
      <c r="D122" s="58"/>
      <c r="E122" s="59"/>
      <c r="F122" s="136"/>
      <c r="G122" s="122" t="s">
        <v>544</v>
      </c>
      <c r="H122" s="73" t="s">
        <v>537</v>
      </c>
      <c r="I122" s="190">
        <v>2043</v>
      </c>
      <c r="J122" s="115">
        <v>25</v>
      </c>
      <c r="K122" s="201">
        <v>1</v>
      </c>
      <c r="L122" s="201"/>
      <c r="M122" s="188">
        <f>J122*K122/60</f>
        <v>0.41666666666666669</v>
      </c>
      <c r="N122" s="188">
        <f>J122*L122/60</f>
        <v>0</v>
      </c>
      <c r="O122" s="82" t="s">
        <v>437</v>
      </c>
      <c r="P122" s="110"/>
      <c r="Q122" s="202"/>
      <c r="R122" s="116"/>
      <c r="S122" s="203"/>
      <c r="T122" s="75" t="s">
        <v>546</v>
      </c>
      <c r="U122" s="75" t="s">
        <v>415</v>
      </c>
      <c r="V122" s="162"/>
    </row>
    <row r="123" spans="1:22" s="39" customFormat="1" ht="101.25" customHeight="1" x14ac:dyDescent="0.25">
      <c r="A123" s="317">
        <v>18</v>
      </c>
      <c r="B123" s="58"/>
      <c r="C123" s="58"/>
      <c r="D123" s="58"/>
      <c r="E123" s="59"/>
      <c r="F123" s="136"/>
      <c r="G123" s="124" t="s">
        <v>439</v>
      </c>
      <c r="H123" s="206" t="s">
        <v>615</v>
      </c>
      <c r="I123" s="207">
        <v>2043</v>
      </c>
      <c r="J123" s="123">
        <v>240</v>
      </c>
      <c r="K123" s="208">
        <v>1</v>
      </c>
      <c r="L123" s="208"/>
      <c r="M123" s="209">
        <f>J123*K123/60</f>
        <v>4</v>
      </c>
      <c r="N123" s="209">
        <f>J123*L123/60</f>
        <v>0</v>
      </c>
      <c r="O123" s="210" t="s">
        <v>616</v>
      </c>
      <c r="P123" s="211" t="s">
        <v>617</v>
      </c>
      <c r="Q123" s="210"/>
      <c r="R123" s="212"/>
      <c r="S123" s="213"/>
      <c r="T123" s="210" t="s">
        <v>631</v>
      </c>
      <c r="U123" s="214" t="s">
        <v>591</v>
      </c>
      <c r="V123" s="161">
        <f>(Futterlauberlöse!A25+Futterlauberlöse!E41)*(1+3%)^18</f>
        <v>54.141457186775909</v>
      </c>
    </row>
    <row r="124" spans="1:22" s="39" customFormat="1" ht="128.25" customHeight="1" thickBot="1" x14ac:dyDescent="0.3">
      <c r="A124" s="317">
        <v>18</v>
      </c>
      <c r="B124" s="58"/>
      <c r="C124" s="58"/>
      <c r="D124" s="58"/>
      <c r="E124" s="59"/>
      <c r="F124" s="136"/>
      <c r="G124" s="124" t="s">
        <v>570</v>
      </c>
      <c r="H124" s="206" t="s">
        <v>608</v>
      </c>
      <c r="I124" s="207">
        <v>2043</v>
      </c>
      <c r="J124" s="123"/>
      <c r="K124" s="208"/>
      <c r="L124" s="208"/>
      <c r="M124" s="209">
        <f>J124*K124/60</f>
        <v>0</v>
      </c>
      <c r="N124" s="209">
        <f>J124*L124/60</f>
        <v>0</v>
      </c>
      <c r="O124" s="210" t="s">
        <v>610</v>
      </c>
      <c r="P124" s="211"/>
      <c r="Q124" s="210"/>
      <c r="R124" s="212"/>
      <c r="S124" s="213"/>
      <c r="T124" s="210" t="s">
        <v>611</v>
      </c>
      <c r="U124" s="214" t="s">
        <v>609</v>
      </c>
      <c r="V124" s="161">
        <f>(22*20+13.9*40)*(1+2%)^18</f>
        <v>1422.5332625859676</v>
      </c>
    </row>
    <row r="125" spans="1:22" s="81" customFormat="1" ht="36" customHeight="1" thickBot="1" x14ac:dyDescent="0.3">
      <c r="A125" s="95">
        <v>18</v>
      </c>
      <c r="B125" s="107">
        <f>(SUM(M122:M124)*D8)*(1+2%)^18</f>
        <v>138.77792705616116</v>
      </c>
      <c r="C125" s="107">
        <f>(SUM(N122:N124)*D9)*(1+2%)^18</f>
        <v>0</v>
      </c>
      <c r="D125" s="96">
        <f>SUM(S122:S124)</f>
        <v>0</v>
      </c>
      <c r="E125" s="108">
        <f>SUM(B125:D125)</f>
        <v>138.77792705616116</v>
      </c>
      <c r="F125" s="138">
        <f>SUM(V122:V124)</f>
        <v>1476.6747197727434</v>
      </c>
      <c r="G125" s="193"/>
      <c r="H125" s="76"/>
      <c r="I125" s="194"/>
      <c r="J125" s="77"/>
      <c r="K125" s="78"/>
      <c r="L125" s="78"/>
      <c r="M125" s="78"/>
      <c r="N125" s="78"/>
      <c r="O125" s="79"/>
      <c r="P125" s="195"/>
      <c r="Q125" s="196"/>
      <c r="R125" s="197"/>
      <c r="S125" s="198"/>
      <c r="T125" s="80"/>
      <c r="U125" s="199"/>
      <c r="V125" s="161"/>
    </row>
    <row r="126" spans="1:22" s="39" customFormat="1" ht="54" customHeight="1" x14ac:dyDescent="0.25">
      <c r="A126" s="85">
        <v>19</v>
      </c>
      <c r="B126" s="58"/>
      <c r="C126" s="58"/>
      <c r="D126" s="58"/>
      <c r="E126" s="59"/>
      <c r="F126" s="136"/>
      <c r="G126" s="122" t="s">
        <v>544</v>
      </c>
      <c r="H126" s="73" t="s">
        <v>537</v>
      </c>
      <c r="I126" s="190">
        <v>2044</v>
      </c>
      <c r="J126" s="115">
        <v>25</v>
      </c>
      <c r="K126" s="201">
        <v>1</v>
      </c>
      <c r="L126" s="201"/>
      <c r="M126" s="188">
        <f>J126*K126/60</f>
        <v>0.41666666666666669</v>
      </c>
      <c r="N126" s="188">
        <f>J126*L126/60</f>
        <v>0</v>
      </c>
      <c r="O126" s="82" t="s">
        <v>437</v>
      </c>
      <c r="P126" s="110"/>
      <c r="Q126" s="202"/>
      <c r="R126" s="116"/>
      <c r="S126" s="203"/>
      <c r="T126" s="75" t="s">
        <v>546</v>
      </c>
      <c r="U126" s="75" t="s">
        <v>415</v>
      </c>
      <c r="V126" s="162"/>
    </row>
    <row r="127" spans="1:22" s="39" customFormat="1" ht="94.5" customHeight="1" x14ac:dyDescent="0.25">
      <c r="A127" s="85">
        <v>19</v>
      </c>
      <c r="B127" s="58"/>
      <c r="C127" s="58"/>
      <c r="D127" s="58"/>
      <c r="E127" s="59"/>
      <c r="F127" s="136"/>
      <c r="G127" s="124" t="s">
        <v>439</v>
      </c>
      <c r="H127" s="206" t="s">
        <v>615</v>
      </c>
      <c r="I127" s="207">
        <v>2044</v>
      </c>
      <c r="J127" s="123">
        <v>240</v>
      </c>
      <c r="K127" s="208">
        <v>1</v>
      </c>
      <c r="L127" s="208"/>
      <c r="M127" s="209">
        <f>J127*K127/60</f>
        <v>4</v>
      </c>
      <c r="N127" s="209">
        <f>J127*L127/60</f>
        <v>0</v>
      </c>
      <c r="O127" s="210" t="s">
        <v>616</v>
      </c>
      <c r="P127" s="211" t="s">
        <v>617</v>
      </c>
      <c r="Q127" s="210"/>
      <c r="R127" s="212"/>
      <c r="S127" s="213"/>
      <c r="T127" s="210" t="s">
        <v>631</v>
      </c>
      <c r="U127" s="214" t="s">
        <v>591</v>
      </c>
      <c r="V127" s="161">
        <f>(Futterlauberlöse!A25+Futterlauberlöse!E41)*(1+3%)^19</f>
        <v>55.765700902379187</v>
      </c>
    </row>
    <row r="128" spans="1:22" s="39" customFormat="1" ht="124.5" customHeight="1" thickBot="1" x14ac:dyDescent="0.3">
      <c r="A128" s="85">
        <v>19</v>
      </c>
      <c r="B128" s="58"/>
      <c r="C128" s="58"/>
      <c r="D128" s="58"/>
      <c r="E128" s="59"/>
      <c r="F128" s="136"/>
      <c r="G128" s="124" t="s">
        <v>570</v>
      </c>
      <c r="H128" s="206" t="s">
        <v>608</v>
      </c>
      <c r="I128" s="207">
        <v>2044</v>
      </c>
      <c r="J128" s="123"/>
      <c r="K128" s="208"/>
      <c r="L128" s="208"/>
      <c r="M128" s="209">
        <f>J128*K128/60</f>
        <v>0</v>
      </c>
      <c r="N128" s="209">
        <f>J128*L128/60</f>
        <v>0</v>
      </c>
      <c r="O128" s="210" t="s">
        <v>610</v>
      </c>
      <c r="P128" s="211"/>
      <c r="Q128" s="210"/>
      <c r="R128" s="212"/>
      <c r="S128" s="213"/>
      <c r="T128" s="210" t="s">
        <v>611</v>
      </c>
      <c r="U128" s="214" t="s">
        <v>609</v>
      </c>
      <c r="V128" s="161">
        <f>(22*20+13.9*40)*(1+2%)^19</f>
        <v>1450.9839278376869</v>
      </c>
    </row>
    <row r="129" spans="1:22" s="81" customFormat="1" ht="36" customHeight="1" thickBot="1" x14ac:dyDescent="0.3">
      <c r="A129" s="95">
        <v>19</v>
      </c>
      <c r="B129" s="107">
        <f>(SUM(M126:M128)*D8)*(1+2%)^19</f>
        <v>141.55348559728438</v>
      </c>
      <c r="C129" s="107">
        <f>(SUM(N126:N128)*D9)*(1+2%)^19</f>
        <v>0</v>
      </c>
      <c r="D129" s="96">
        <f>SUM(S126:S128)</f>
        <v>0</v>
      </c>
      <c r="E129" s="108">
        <f>SUM(B129:D129)</f>
        <v>141.55348559728438</v>
      </c>
      <c r="F129" s="138">
        <f>SUM(V126:V128)</f>
        <v>1506.7496287400661</v>
      </c>
      <c r="G129" s="193"/>
      <c r="H129" s="76"/>
      <c r="I129" s="194"/>
      <c r="J129" s="77"/>
      <c r="K129" s="78"/>
      <c r="L129" s="78"/>
      <c r="M129" s="78"/>
      <c r="N129" s="78"/>
      <c r="O129" s="79"/>
      <c r="P129" s="195"/>
      <c r="Q129" s="196"/>
      <c r="R129" s="197"/>
      <c r="S129" s="198"/>
      <c r="T129" s="80"/>
      <c r="U129" s="199"/>
      <c r="V129" s="161"/>
    </row>
    <row r="130" spans="1:22" s="39" customFormat="1" ht="54" customHeight="1" x14ac:dyDescent="0.25">
      <c r="A130" s="317">
        <v>20</v>
      </c>
      <c r="B130" s="58"/>
      <c r="C130" s="58"/>
      <c r="D130" s="58"/>
      <c r="E130" s="59"/>
      <c r="F130" s="136"/>
      <c r="G130" s="122" t="s">
        <v>544</v>
      </c>
      <c r="H130" s="73" t="s">
        <v>537</v>
      </c>
      <c r="I130" s="190">
        <v>2045</v>
      </c>
      <c r="J130" s="115">
        <v>25</v>
      </c>
      <c r="K130" s="201">
        <v>1</v>
      </c>
      <c r="L130" s="201"/>
      <c r="M130" s="188">
        <f>J130*K130/60</f>
        <v>0.41666666666666669</v>
      </c>
      <c r="N130" s="188">
        <f>J130*L130/60</f>
        <v>0</v>
      </c>
      <c r="O130" s="82" t="s">
        <v>437</v>
      </c>
      <c r="P130" s="110"/>
      <c r="Q130" s="202"/>
      <c r="R130" s="116"/>
      <c r="S130" s="203"/>
      <c r="T130" s="75" t="s">
        <v>546</v>
      </c>
      <c r="U130" s="75" t="s">
        <v>415</v>
      </c>
      <c r="V130" s="162"/>
    </row>
    <row r="131" spans="1:22" s="39" customFormat="1" ht="111.75" customHeight="1" x14ac:dyDescent="0.25">
      <c r="A131" s="317">
        <v>20</v>
      </c>
      <c r="B131" s="58"/>
      <c r="C131" s="58"/>
      <c r="D131" s="58"/>
      <c r="E131" s="59"/>
      <c r="F131" s="136"/>
      <c r="G131" s="124" t="s">
        <v>439</v>
      </c>
      <c r="H131" s="206" t="s">
        <v>613</v>
      </c>
      <c r="I131" s="207">
        <v>2045</v>
      </c>
      <c r="J131" s="123">
        <f>240+140</f>
        <v>380</v>
      </c>
      <c r="K131" s="208">
        <v>1</v>
      </c>
      <c r="L131" s="208"/>
      <c r="M131" s="209">
        <f>J131*K131/60</f>
        <v>6.333333333333333</v>
      </c>
      <c r="N131" s="209">
        <f>J131*L131/60</f>
        <v>0</v>
      </c>
      <c r="O131" s="210" t="s">
        <v>612</v>
      </c>
      <c r="P131" s="211" t="s">
        <v>600</v>
      </c>
      <c r="Q131" s="210" t="s">
        <v>547</v>
      </c>
      <c r="R131" s="212" t="s">
        <v>476</v>
      </c>
      <c r="S131" s="213">
        <v>22</v>
      </c>
      <c r="T131" s="210" t="s">
        <v>630</v>
      </c>
      <c r="U131" s="214" t="s">
        <v>591</v>
      </c>
      <c r="V131" s="161">
        <f>((Futterlauberlöse!A25+Futterlauberlöse!E42)*(1+3%)^20)*2</f>
        <v>131.01964362988244</v>
      </c>
    </row>
    <row r="132" spans="1:22" s="39" customFormat="1" ht="39.75" customHeight="1" x14ac:dyDescent="0.25">
      <c r="A132" s="317">
        <v>20</v>
      </c>
      <c r="B132" s="58"/>
      <c r="C132" s="58"/>
      <c r="D132" s="58"/>
      <c r="E132" s="59"/>
      <c r="F132" s="136"/>
      <c r="G132" s="124"/>
      <c r="H132" s="206"/>
      <c r="I132" s="207">
        <v>2045</v>
      </c>
      <c r="J132" s="123"/>
      <c r="K132" s="208"/>
      <c r="L132" s="208"/>
      <c r="M132" s="209">
        <f>J132*K132/60</f>
        <v>0</v>
      </c>
      <c r="N132" s="209">
        <f>J132*L132/60</f>
        <v>0</v>
      </c>
      <c r="O132" s="210"/>
      <c r="P132" s="211"/>
      <c r="Q132" s="210" t="s">
        <v>548</v>
      </c>
      <c r="R132" s="212" t="s">
        <v>598</v>
      </c>
      <c r="S132" s="213">
        <f>35*2</f>
        <v>70</v>
      </c>
      <c r="T132" s="210" t="s">
        <v>614</v>
      </c>
      <c r="U132" s="214" t="s">
        <v>415</v>
      </c>
      <c r="V132" s="161"/>
    </row>
    <row r="133" spans="1:22" s="39" customFormat="1" ht="129.75" customHeight="1" thickBot="1" x14ac:dyDescent="0.3">
      <c r="A133" s="317">
        <v>20</v>
      </c>
      <c r="B133" s="58"/>
      <c r="C133" s="58"/>
      <c r="D133" s="58"/>
      <c r="E133" s="59"/>
      <c r="F133" s="136"/>
      <c r="G133" s="124" t="s">
        <v>570</v>
      </c>
      <c r="H133" s="206" t="s">
        <v>608</v>
      </c>
      <c r="I133" s="207">
        <v>2045</v>
      </c>
      <c r="J133" s="123"/>
      <c r="K133" s="208"/>
      <c r="L133" s="208"/>
      <c r="M133" s="209">
        <f>J133*K133/60</f>
        <v>0</v>
      </c>
      <c r="N133" s="209">
        <f>J133*L133/60</f>
        <v>0</v>
      </c>
      <c r="O133" s="210" t="s">
        <v>610</v>
      </c>
      <c r="P133" s="211"/>
      <c r="Q133" s="210"/>
      <c r="R133" s="212"/>
      <c r="S133" s="213"/>
      <c r="T133" s="210" t="s">
        <v>611</v>
      </c>
      <c r="U133" s="214" t="s">
        <v>609</v>
      </c>
      <c r="V133" s="161">
        <f>(22*20+13.9*40)*(1+2%)^20</f>
        <v>1480.0036063944408</v>
      </c>
    </row>
    <row r="134" spans="1:22" s="81" customFormat="1" ht="36" customHeight="1" thickBot="1" x14ac:dyDescent="0.3">
      <c r="A134" s="95">
        <v>20</v>
      </c>
      <c r="B134" s="107">
        <f>(SUM(M130:M133)*D8)*(1+2%)^20</f>
        <v>220.66318830278561</v>
      </c>
      <c r="C134" s="107">
        <f>(SUM(N130:N133)*D9)*(1+2%)^20</f>
        <v>0</v>
      </c>
      <c r="D134" s="96">
        <f>SUM(S130:S133)</f>
        <v>92</v>
      </c>
      <c r="E134" s="108">
        <f>SUM(B134:D134)</f>
        <v>312.66318830278561</v>
      </c>
      <c r="F134" s="138">
        <f>SUM(V130:V133)</f>
        <v>1611.0232500243233</v>
      </c>
      <c r="G134" s="193"/>
      <c r="H134" s="76"/>
      <c r="I134" s="194"/>
      <c r="J134" s="77"/>
      <c r="K134" s="78"/>
      <c r="L134" s="78"/>
      <c r="M134" s="78"/>
      <c r="N134" s="78"/>
      <c r="O134" s="79"/>
      <c r="P134" s="195"/>
      <c r="Q134" s="196"/>
      <c r="R134" s="197"/>
      <c r="S134" s="198"/>
      <c r="T134" s="80"/>
      <c r="U134" s="199"/>
      <c r="V134" s="161"/>
    </row>
    <row r="135" spans="1:22" s="39" customFormat="1" ht="54" customHeight="1" x14ac:dyDescent="0.25">
      <c r="A135" s="317">
        <v>21</v>
      </c>
      <c r="B135" s="58"/>
      <c r="C135" s="58"/>
      <c r="D135" s="58"/>
      <c r="E135" s="59"/>
      <c r="F135" s="136"/>
      <c r="G135" s="122" t="s">
        <v>544</v>
      </c>
      <c r="H135" s="73" t="s">
        <v>537</v>
      </c>
      <c r="I135" s="190">
        <v>2046</v>
      </c>
      <c r="J135" s="115">
        <v>25</v>
      </c>
      <c r="K135" s="201">
        <v>1</v>
      </c>
      <c r="L135" s="201"/>
      <c r="M135" s="188">
        <f>J135*K135/60</f>
        <v>0.41666666666666669</v>
      </c>
      <c r="N135" s="188">
        <f>J135*L135/60</f>
        <v>0</v>
      </c>
      <c r="O135" s="82" t="s">
        <v>437</v>
      </c>
      <c r="P135" s="110"/>
      <c r="Q135" s="202"/>
      <c r="R135" s="116"/>
      <c r="S135" s="203"/>
      <c r="T135" s="75" t="s">
        <v>546</v>
      </c>
      <c r="U135" s="75" t="s">
        <v>415</v>
      </c>
      <c r="V135" s="162"/>
    </row>
    <row r="136" spans="1:22" s="39" customFormat="1" ht="105.75" customHeight="1" x14ac:dyDescent="0.25">
      <c r="A136" s="317">
        <v>21</v>
      </c>
      <c r="B136" s="58"/>
      <c r="C136" s="58"/>
      <c r="D136" s="58"/>
      <c r="E136" s="59"/>
      <c r="F136" s="136"/>
      <c r="G136" s="124" t="s">
        <v>439</v>
      </c>
      <c r="H136" s="206" t="s">
        <v>615</v>
      </c>
      <c r="I136" s="207">
        <v>2046</v>
      </c>
      <c r="J136" s="123">
        <v>240</v>
      </c>
      <c r="K136" s="208">
        <v>1</v>
      </c>
      <c r="L136" s="208"/>
      <c r="M136" s="209">
        <f>J136*K136/60</f>
        <v>4</v>
      </c>
      <c r="N136" s="209">
        <f>J136*L136/60</f>
        <v>0</v>
      </c>
      <c r="O136" s="210" t="s">
        <v>616</v>
      </c>
      <c r="P136" s="211" t="s">
        <v>617</v>
      </c>
      <c r="Q136" s="210"/>
      <c r="R136" s="212"/>
      <c r="S136" s="213"/>
      <c r="T136" s="210" t="s">
        <v>631</v>
      </c>
      <c r="U136" s="214" t="s">
        <v>591</v>
      </c>
      <c r="V136" s="161">
        <f>(Futterlauberlöse!A25+Futterlauberlöse!E42)*(1+3%)^21</f>
        <v>67.475116469389448</v>
      </c>
    </row>
    <row r="137" spans="1:22" s="39" customFormat="1" ht="132" customHeight="1" thickBot="1" x14ac:dyDescent="0.3">
      <c r="A137" s="317">
        <v>21</v>
      </c>
      <c r="B137" s="58"/>
      <c r="C137" s="58"/>
      <c r="D137" s="58"/>
      <c r="E137" s="59"/>
      <c r="F137" s="136"/>
      <c r="G137" s="124" t="s">
        <v>570</v>
      </c>
      <c r="H137" s="206" t="s">
        <v>608</v>
      </c>
      <c r="I137" s="207">
        <v>2046</v>
      </c>
      <c r="J137" s="123"/>
      <c r="K137" s="208"/>
      <c r="L137" s="208"/>
      <c r="M137" s="209">
        <f>J137*K137/60</f>
        <v>0</v>
      </c>
      <c r="N137" s="209">
        <f>J137*L137/60</f>
        <v>0</v>
      </c>
      <c r="O137" s="210" t="s">
        <v>610</v>
      </c>
      <c r="P137" s="211"/>
      <c r="Q137" s="210"/>
      <c r="R137" s="212"/>
      <c r="S137" s="213"/>
      <c r="T137" s="210" t="s">
        <v>611</v>
      </c>
      <c r="U137" s="214" t="s">
        <v>609</v>
      </c>
      <c r="V137" s="161">
        <f>(22*20+13.9*40)*(1+2%)^21</f>
        <v>1509.6036785223296</v>
      </c>
    </row>
    <row r="138" spans="1:22" s="81" customFormat="1" ht="36" customHeight="1" thickBot="1" x14ac:dyDescent="0.3">
      <c r="A138" s="95">
        <v>21</v>
      </c>
      <c r="B138" s="107">
        <f>(SUM(M135:M137)*D8)*(1+2%)^21</f>
        <v>147.27224641541468</v>
      </c>
      <c r="C138" s="107">
        <f>(SUM(N135:N137)*D9)*(1+2%)^21</f>
        <v>0</v>
      </c>
      <c r="D138" s="96">
        <f>SUM(S135:S137)</f>
        <v>0</v>
      </c>
      <c r="E138" s="108">
        <f>SUM(B138:D138)</f>
        <v>147.27224641541468</v>
      </c>
      <c r="F138" s="138">
        <f>SUM(V135:V137)</f>
        <v>1577.078794991719</v>
      </c>
      <c r="G138" s="193"/>
      <c r="H138" s="76"/>
      <c r="I138" s="194"/>
      <c r="J138" s="77"/>
      <c r="K138" s="78"/>
      <c r="L138" s="78"/>
      <c r="M138" s="78"/>
      <c r="N138" s="78"/>
      <c r="O138" s="79"/>
      <c r="P138" s="195"/>
      <c r="Q138" s="196"/>
      <c r="R138" s="197"/>
      <c r="S138" s="198"/>
      <c r="T138" s="80"/>
      <c r="U138" s="199"/>
      <c r="V138" s="161"/>
    </row>
    <row r="139" spans="1:22" s="39" customFormat="1" ht="54" customHeight="1" x14ac:dyDescent="0.25">
      <c r="A139" s="317">
        <v>22</v>
      </c>
      <c r="B139" s="58"/>
      <c r="C139" s="58"/>
      <c r="D139" s="58"/>
      <c r="E139" s="59"/>
      <c r="F139" s="136"/>
      <c r="G139" s="122" t="s">
        <v>544</v>
      </c>
      <c r="H139" s="73" t="s">
        <v>537</v>
      </c>
      <c r="I139" s="190">
        <v>2047</v>
      </c>
      <c r="J139" s="115">
        <v>25</v>
      </c>
      <c r="K139" s="201">
        <v>1</v>
      </c>
      <c r="L139" s="201"/>
      <c r="M139" s="188">
        <f>J139*K139/60</f>
        <v>0.41666666666666669</v>
      </c>
      <c r="N139" s="188">
        <f>J139*L139/60</f>
        <v>0</v>
      </c>
      <c r="O139" s="82" t="s">
        <v>437</v>
      </c>
      <c r="P139" s="110"/>
      <c r="Q139" s="202"/>
      <c r="R139" s="116"/>
      <c r="S139" s="203"/>
      <c r="T139" s="75" t="s">
        <v>546</v>
      </c>
      <c r="U139" s="75" t="s">
        <v>415</v>
      </c>
      <c r="V139" s="162"/>
    </row>
    <row r="140" spans="1:22" s="39" customFormat="1" ht="109.5" customHeight="1" x14ac:dyDescent="0.25">
      <c r="A140" s="317">
        <v>22</v>
      </c>
      <c r="B140" s="58"/>
      <c r="C140" s="58"/>
      <c r="D140" s="58"/>
      <c r="E140" s="59"/>
      <c r="F140" s="136"/>
      <c r="G140" s="124" t="s">
        <v>439</v>
      </c>
      <c r="H140" s="206" t="s">
        <v>615</v>
      </c>
      <c r="I140" s="207">
        <v>2047</v>
      </c>
      <c r="J140" s="123">
        <v>240</v>
      </c>
      <c r="K140" s="208">
        <v>1</v>
      </c>
      <c r="L140" s="208"/>
      <c r="M140" s="209">
        <f>J140*K140/60</f>
        <v>4</v>
      </c>
      <c r="N140" s="209">
        <f>J140*L140/60</f>
        <v>0</v>
      </c>
      <c r="O140" s="210" t="s">
        <v>616</v>
      </c>
      <c r="P140" s="211" t="s">
        <v>617</v>
      </c>
      <c r="Q140" s="210"/>
      <c r="R140" s="212"/>
      <c r="S140" s="213"/>
      <c r="T140" s="210" t="s">
        <v>631</v>
      </c>
      <c r="U140" s="214" t="s">
        <v>591</v>
      </c>
      <c r="V140" s="161">
        <f>(Futterlauberlöse!A25+Futterlauberlöse!E42)*(1+3%)^22</f>
        <v>69.499369963471139</v>
      </c>
    </row>
    <row r="141" spans="1:22" s="39" customFormat="1" ht="124.5" customHeight="1" thickBot="1" x14ac:dyDescent="0.3">
      <c r="A141" s="317">
        <v>22</v>
      </c>
      <c r="B141" s="58"/>
      <c r="C141" s="58"/>
      <c r="D141" s="58"/>
      <c r="E141" s="59"/>
      <c r="F141" s="136"/>
      <c r="G141" s="124" t="s">
        <v>570</v>
      </c>
      <c r="H141" s="206" t="s">
        <v>608</v>
      </c>
      <c r="I141" s="207">
        <v>2047</v>
      </c>
      <c r="J141" s="123"/>
      <c r="K141" s="208"/>
      <c r="L141" s="208"/>
      <c r="M141" s="209">
        <f>J141*K141/60</f>
        <v>0</v>
      </c>
      <c r="N141" s="209">
        <f>J141*L141/60</f>
        <v>0</v>
      </c>
      <c r="O141" s="210" t="s">
        <v>610</v>
      </c>
      <c r="P141" s="211"/>
      <c r="Q141" s="210"/>
      <c r="R141" s="212"/>
      <c r="S141" s="213"/>
      <c r="T141" s="210" t="s">
        <v>611</v>
      </c>
      <c r="U141" s="214" t="s">
        <v>609</v>
      </c>
      <c r="V141" s="161">
        <f>(22*20+13.9*40)*(1+2%)^22</f>
        <v>1539.7957520927762</v>
      </c>
    </row>
    <row r="142" spans="1:22" s="81" customFormat="1" ht="36" customHeight="1" thickBot="1" x14ac:dyDescent="0.3">
      <c r="A142" s="95">
        <v>22</v>
      </c>
      <c r="B142" s="107">
        <f>(SUM(M139:M141)*D8)*(1+2%)^22</f>
        <v>150.21769134372298</v>
      </c>
      <c r="C142" s="107">
        <f>(SUM(N139:N141)*D9)*(1+2%)^22</f>
        <v>0</v>
      </c>
      <c r="D142" s="96">
        <f>SUM(S139:S141)</f>
        <v>0</v>
      </c>
      <c r="E142" s="108">
        <f>SUM(B142:D142)</f>
        <v>150.21769134372298</v>
      </c>
      <c r="F142" s="138">
        <f>SUM(V139:V141)</f>
        <v>1609.2951220562472</v>
      </c>
      <c r="G142" s="193"/>
      <c r="H142" s="76"/>
      <c r="I142" s="194"/>
      <c r="J142" s="77"/>
      <c r="K142" s="78"/>
      <c r="L142" s="78"/>
      <c r="M142" s="78"/>
      <c r="N142" s="78"/>
      <c r="O142" s="79"/>
      <c r="P142" s="195"/>
      <c r="Q142" s="196"/>
      <c r="R142" s="197"/>
      <c r="S142" s="198"/>
      <c r="T142" s="80"/>
      <c r="U142" s="199"/>
      <c r="V142" s="161"/>
    </row>
    <row r="143" spans="1:22" s="39" customFormat="1" ht="54" customHeight="1" x14ac:dyDescent="0.25">
      <c r="A143" s="317">
        <v>23</v>
      </c>
      <c r="B143" s="58"/>
      <c r="C143" s="58"/>
      <c r="D143" s="58"/>
      <c r="E143" s="59"/>
      <c r="F143" s="136"/>
      <c r="G143" s="122" t="s">
        <v>544</v>
      </c>
      <c r="H143" s="73" t="s">
        <v>537</v>
      </c>
      <c r="I143" s="190">
        <v>2048</v>
      </c>
      <c r="J143" s="115">
        <v>25</v>
      </c>
      <c r="K143" s="201">
        <v>1</v>
      </c>
      <c r="L143" s="201"/>
      <c r="M143" s="188">
        <f>J143*K143/60</f>
        <v>0.41666666666666669</v>
      </c>
      <c r="N143" s="188">
        <f>J143*L143/60</f>
        <v>0</v>
      </c>
      <c r="O143" s="82" t="s">
        <v>437</v>
      </c>
      <c r="P143" s="110"/>
      <c r="Q143" s="202"/>
      <c r="R143" s="116"/>
      <c r="S143" s="203"/>
      <c r="T143" s="75" t="s">
        <v>546</v>
      </c>
      <c r="U143" s="75" t="s">
        <v>415</v>
      </c>
      <c r="V143" s="162"/>
    </row>
    <row r="144" spans="1:22" s="39" customFormat="1" ht="124.5" customHeight="1" x14ac:dyDescent="0.25">
      <c r="A144" s="317">
        <v>23</v>
      </c>
      <c r="B144" s="58"/>
      <c r="C144" s="58"/>
      <c r="D144" s="58"/>
      <c r="E144" s="59"/>
      <c r="F144" s="136"/>
      <c r="G144" s="124" t="s">
        <v>439</v>
      </c>
      <c r="H144" s="206" t="s">
        <v>613</v>
      </c>
      <c r="I144" s="207">
        <v>2048</v>
      </c>
      <c r="J144" s="123">
        <f>240+140</f>
        <v>380</v>
      </c>
      <c r="K144" s="208">
        <v>1</v>
      </c>
      <c r="L144" s="208"/>
      <c r="M144" s="209">
        <f>J144*K144/60</f>
        <v>6.333333333333333</v>
      </c>
      <c r="N144" s="209">
        <f>J144*L144/60</f>
        <v>0</v>
      </c>
      <c r="O144" s="210" t="s">
        <v>612</v>
      </c>
      <c r="P144" s="211" t="s">
        <v>600</v>
      </c>
      <c r="Q144" s="210" t="s">
        <v>547</v>
      </c>
      <c r="R144" s="212" t="s">
        <v>476</v>
      </c>
      <c r="S144" s="213">
        <v>22</v>
      </c>
      <c r="T144" s="210" t="s">
        <v>630</v>
      </c>
      <c r="U144" s="214" t="s">
        <v>591</v>
      </c>
      <c r="V144" s="161">
        <f>((Futterlauberlöse!A25+Futterlauberlöse!E42)*(1+3%)^23)*2</f>
        <v>143.16870212475055</v>
      </c>
    </row>
    <row r="145" spans="1:22" s="39" customFormat="1" ht="47.25" customHeight="1" x14ac:dyDescent="0.25">
      <c r="A145" s="317">
        <v>23</v>
      </c>
      <c r="B145" s="58"/>
      <c r="C145" s="58"/>
      <c r="D145" s="58"/>
      <c r="E145" s="59"/>
      <c r="F145" s="136"/>
      <c r="G145" s="124"/>
      <c r="H145" s="206"/>
      <c r="I145" s="207">
        <v>2048</v>
      </c>
      <c r="J145" s="123"/>
      <c r="K145" s="208"/>
      <c r="L145" s="208"/>
      <c r="M145" s="209">
        <f>J145*K145/60</f>
        <v>0</v>
      </c>
      <c r="N145" s="209">
        <f>J145*L145/60</f>
        <v>0</v>
      </c>
      <c r="O145" s="210"/>
      <c r="P145" s="211"/>
      <c r="Q145" s="210" t="s">
        <v>548</v>
      </c>
      <c r="R145" s="212" t="s">
        <v>598</v>
      </c>
      <c r="S145" s="213">
        <f>35*2</f>
        <v>70</v>
      </c>
      <c r="T145" s="210" t="s">
        <v>614</v>
      </c>
      <c r="U145" s="214" t="s">
        <v>415</v>
      </c>
      <c r="V145" s="161"/>
    </row>
    <row r="146" spans="1:22" s="39" customFormat="1" ht="125.25" customHeight="1" thickBot="1" x14ac:dyDescent="0.3">
      <c r="A146" s="317">
        <v>23</v>
      </c>
      <c r="B146" s="58"/>
      <c r="C146" s="58"/>
      <c r="D146" s="58"/>
      <c r="E146" s="59"/>
      <c r="F146" s="136"/>
      <c r="G146" s="124" t="s">
        <v>570</v>
      </c>
      <c r="H146" s="206" t="s">
        <v>608</v>
      </c>
      <c r="I146" s="207">
        <v>2048</v>
      </c>
      <c r="J146" s="123"/>
      <c r="K146" s="208"/>
      <c r="L146" s="208"/>
      <c r="M146" s="209">
        <f>J146*K146/60</f>
        <v>0</v>
      </c>
      <c r="N146" s="209">
        <f>J146*L146/60</f>
        <v>0</v>
      </c>
      <c r="O146" s="210" t="s">
        <v>610</v>
      </c>
      <c r="P146" s="211"/>
      <c r="Q146" s="210"/>
      <c r="R146" s="212"/>
      <c r="S146" s="213"/>
      <c r="T146" s="210" t="s">
        <v>611</v>
      </c>
      <c r="U146" s="214" t="s">
        <v>609</v>
      </c>
      <c r="V146" s="161">
        <f>(22*20+13.9*40)*(1+2%)^23</f>
        <v>1570.5916671346315</v>
      </c>
    </row>
    <row r="147" spans="1:22" s="81" customFormat="1" ht="36" customHeight="1" thickBot="1" x14ac:dyDescent="0.3">
      <c r="A147" s="95">
        <v>23</v>
      </c>
      <c r="B147" s="107">
        <f>(SUM(M143:M146)*D8)*(1+2%)^23</f>
        <v>234.16954073242246</v>
      </c>
      <c r="C147" s="107">
        <f>(SUM(N143:N146)*D9)*(1+2%)^23</f>
        <v>0</v>
      </c>
      <c r="D147" s="96">
        <f>SUM(S143:S146)</f>
        <v>92</v>
      </c>
      <c r="E147" s="108">
        <f>SUM(B147:D147)</f>
        <v>326.16954073242243</v>
      </c>
      <c r="F147" s="138">
        <f>SUM(V143:V146)</f>
        <v>1713.7603692593821</v>
      </c>
      <c r="G147" s="193"/>
      <c r="H147" s="76"/>
      <c r="I147" s="194"/>
      <c r="J147" s="77"/>
      <c r="K147" s="78"/>
      <c r="L147" s="78"/>
      <c r="M147" s="78"/>
      <c r="N147" s="78"/>
      <c r="O147" s="79"/>
      <c r="P147" s="195"/>
      <c r="Q147" s="196"/>
      <c r="R147" s="197"/>
      <c r="S147" s="198"/>
      <c r="T147" s="80"/>
      <c r="U147" s="199"/>
      <c r="V147" s="161"/>
    </row>
    <row r="148" spans="1:22" s="39" customFormat="1" ht="54" customHeight="1" x14ac:dyDescent="0.25">
      <c r="A148" s="317">
        <v>24</v>
      </c>
      <c r="B148" s="58"/>
      <c r="C148" s="58"/>
      <c r="D148" s="58"/>
      <c r="E148" s="59"/>
      <c r="F148" s="136"/>
      <c r="G148" s="122" t="s">
        <v>544</v>
      </c>
      <c r="H148" s="73" t="s">
        <v>537</v>
      </c>
      <c r="I148" s="190">
        <v>2049</v>
      </c>
      <c r="J148" s="115">
        <v>25</v>
      </c>
      <c r="K148" s="201">
        <v>1</v>
      </c>
      <c r="L148" s="201"/>
      <c r="M148" s="188">
        <f>J148*K148/60</f>
        <v>0.41666666666666669</v>
      </c>
      <c r="N148" s="188">
        <f>J148*L148/60</f>
        <v>0</v>
      </c>
      <c r="O148" s="82" t="s">
        <v>437</v>
      </c>
      <c r="P148" s="110"/>
      <c r="Q148" s="202"/>
      <c r="R148" s="116"/>
      <c r="S148" s="203"/>
      <c r="T148" s="75" t="s">
        <v>546</v>
      </c>
      <c r="U148" s="75" t="s">
        <v>415</v>
      </c>
      <c r="V148" s="162"/>
    </row>
    <row r="149" spans="1:22" s="39" customFormat="1" ht="106.5" customHeight="1" x14ac:dyDescent="0.25">
      <c r="A149" s="317">
        <v>24</v>
      </c>
      <c r="B149" s="58"/>
      <c r="C149" s="58"/>
      <c r="D149" s="58"/>
      <c r="E149" s="59"/>
      <c r="F149" s="136"/>
      <c r="G149" s="124" t="s">
        <v>439</v>
      </c>
      <c r="H149" s="206" t="s">
        <v>615</v>
      </c>
      <c r="I149" s="207">
        <v>2049</v>
      </c>
      <c r="J149" s="123">
        <v>240</v>
      </c>
      <c r="K149" s="208">
        <v>1</v>
      </c>
      <c r="L149" s="208"/>
      <c r="M149" s="209">
        <f>J149*K149/60</f>
        <v>4</v>
      </c>
      <c r="N149" s="209">
        <f>J149*L149/60</f>
        <v>0</v>
      </c>
      <c r="O149" s="210" t="s">
        <v>616</v>
      </c>
      <c r="P149" s="211" t="s">
        <v>617</v>
      </c>
      <c r="Q149" s="210"/>
      <c r="R149" s="212"/>
      <c r="S149" s="213"/>
      <c r="T149" s="210" t="s">
        <v>631</v>
      </c>
      <c r="U149" s="214" t="s">
        <v>591</v>
      </c>
      <c r="V149" s="161">
        <f>(Futterlauberlöse!A25+Futterlauberlöse!E42)*(1+3%)^24</f>
        <v>73.731881594246531</v>
      </c>
    </row>
    <row r="150" spans="1:22" s="39" customFormat="1" ht="118.5" customHeight="1" thickBot="1" x14ac:dyDescent="0.3">
      <c r="A150" s="317">
        <v>24</v>
      </c>
      <c r="B150" s="58"/>
      <c r="C150" s="58"/>
      <c r="D150" s="58"/>
      <c r="E150" s="59"/>
      <c r="F150" s="136"/>
      <c r="G150" s="124" t="s">
        <v>570</v>
      </c>
      <c r="H150" s="206" t="s">
        <v>608</v>
      </c>
      <c r="I150" s="207">
        <v>2049</v>
      </c>
      <c r="J150" s="123"/>
      <c r="K150" s="208"/>
      <c r="L150" s="208"/>
      <c r="M150" s="209">
        <f>J150*K150/60</f>
        <v>0</v>
      </c>
      <c r="N150" s="209">
        <f>J150*L150/60</f>
        <v>0</v>
      </c>
      <c r="O150" s="210" t="s">
        <v>610</v>
      </c>
      <c r="P150" s="211"/>
      <c r="Q150" s="210"/>
      <c r="R150" s="212"/>
      <c r="S150" s="213"/>
      <c r="T150" s="210" t="s">
        <v>611</v>
      </c>
      <c r="U150" s="214" t="s">
        <v>609</v>
      </c>
      <c r="V150" s="161">
        <f>(22*20+13.9*40)*(1+2%)^24</f>
        <v>1602.0035004773242</v>
      </c>
    </row>
    <row r="151" spans="1:22" s="81" customFormat="1" ht="36" customHeight="1" thickBot="1" x14ac:dyDescent="0.3">
      <c r="A151" s="95">
        <v>24</v>
      </c>
      <c r="B151" s="107">
        <f>(SUM(M148:M150)*D8)*(1+2%)^24</f>
        <v>156.28648607400936</v>
      </c>
      <c r="C151" s="107">
        <f>(SUM(N148:N150)*D9)*(1+2%)^24</f>
        <v>0</v>
      </c>
      <c r="D151" s="96">
        <f>SUM(S148:S150)</f>
        <v>0</v>
      </c>
      <c r="E151" s="108">
        <f>SUM(B151:D151)</f>
        <v>156.28648607400936</v>
      </c>
      <c r="F151" s="138">
        <f>SUM(V148:V150)</f>
        <v>1675.7353820715707</v>
      </c>
      <c r="G151" s="193"/>
      <c r="H151" s="76"/>
      <c r="I151" s="194"/>
      <c r="J151" s="77"/>
      <c r="K151" s="78"/>
      <c r="L151" s="78"/>
      <c r="M151" s="78"/>
      <c r="N151" s="78"/>
      <c r="O151" s="79"/>
      <c r="P151" s="195"/>
      <c r="Q151" s="196"/>
      <c r="R151" s="197"/>
      <c r="S151" s="198"/>
      <c r="T151" s="80"/>
      <c r="U151" s="199"/>
      <c r="V151" s="161"/>
    </row>
    <row r="152" spans="1:22" s="39" customFormat="1" ht="54" customHeight="1" x14ac:dyDescent="0.25">
      <c r="A152" s="317">
        <v>25</v>
      </c>
      <c r="B152" s="58"/>
      <c r="C152" s="58"/>
      <c r="D152" s="58"/>
      <c r="E152" s="59"/>
      <c r="F152" s="136"/>
      <c r="G152" s="122" t="s">
        <v>544</v>
      </c>
      <c r="H152" s="73" t="s">
        <v>537</v>
      </c>
      <c r="I152" s="190">
        <v>2050</v>
      </c>
      <c r="J152" s="115">
        <v>25</v>
      </c>
      <c r="K152" s="201">
        <v>1</v>
      </c>
      <c r="L152" s="201"/>
      <c r="M152" s="188">
        <f>J152*K152/60</f>
        <v>0.41666666666666669</v>
      </c>
      <c r="N152" s="188">
        <f>J152*L152/60</f>
        <v>0</v>
      </c>
      <c r="O152" s="82" t="s">
        <v>437</v>
      </c>
      <c r="P152" s="110"/>
      <c r="Q152" s="202"/>
      <c r="R152" s="116"/>
      <c r="S152" s="203"/>
      <c r="T152" s="75" t="s">
        <v>546</v>
      </c>
      <c r="U152" s="75" t="s">
        <v>415</v>
      </c>
      <c r="V152" s="162"/>
    </row>
    <row r="153" spans="1:22" s="39" customFormat="1" ht="88.5" customHeight="1" x14ac:dyDescent="0.25">
      <c r="A153" s="317">
        <v>25</v>
      </c>
      <c r="B153" s="58"/>
      <c r="C153" s="58"/>
      <c r="D153" s="58"/>
      <c r="E153" s="59"/>
      <c r="F153" s="136"/>
      <c r="G153" s="124" t="s">
        <v>439</v>
      </c>
      <c r="H153" s="206" t="s">
        <v>615</v>
      </c>
      <c r="I153" s="207">
        <v>2050</v>
      </c>
      <c r="J153" s="123">
        <v>240</v>
      </c>
      <c r="K153" s="208">
        <v>1</v>
      </c>
      <c r="L153" s="208"/>
      <c r="M153" s="209">
        <f>J153*K153/60</f>
        <v>4</v>
      </c>
      <c r="N153" s="209">
        <f>J153*L153/60</f>
        <v>0</v>
      </c>
      <c r="O153" s="210" t="s">
        <v>616</v>
      </c>
      <c r="P153" s="211" t="s">
        <v>617</v>
      </c>
      <c r="Q153" s="210"/>
      <c r="R153" s="212"/>
      <c r="S153" s="213"/>
      <c r="T153" s="210" t="s">
        <v>631</v>
      </c>
      <c r="U153" s="214" t="s">
        <v>591</v>
      </c>
      <c r="V153" s="161">
        <f>(Futterlauberlöse!A25+Futterlauberlöse!E43)*(1+3%)^25</f>
        <v>85.300512854112682</v>
      </c>
    </row>
    <row r="154" spans="1:22" s="39" customFormat="1" ht="117.75" customHeight="1" thickBot="1" x14ac:dyDescent="0.3">
      <c r="A154" s="317">
        <v>25</v>
      </c>
      <c r="B154" s="58"/>
      <c r="C154" s="58"/>
      <c r="D154" s="58"/>
      <c r="E154" s="59"/>
      <c r="F154" s="136"/>
      <c r="G154" s="124" t="s">
        <v>570</v>
      </c>
      <c r="H154" s="206" t="s">
        <v>608</v>
      </c>
      <c r="I154" s="207">
        <v>2050</v>
      </c>
      <c r="J154" s="123"/>
      <c r="K154" s="208"/>
      <c r="L154" s="208"/>
      <c r="M154" s="209">
        <f>J154*K154/60</f>
        <v>0</v>
      </c>
      <c r="N154" s="209">
        <f>J154*L154/60</f>
        <v>0</v>
      </c>
      <c r="O154" s="210" t="s">
        <v>610</v>
      </c>
      <c r="P154" s="211"/>
      <c r="Q154" s="210"/>
      <c r="R154" s="212"/>
      <c r="S154" s="213"/>
      <c r="T154" s="210" t="s">
        <v>611</v>
      </c>
      <c r="U154" s="214" t="s">
        <v>609</v>
      </c>
      <c r="V154" s="161">
        <f>(22*20+13.9*40)*(1+2%)^25</f>
        <v>1634.0435704868705</v>
      </c>
    </row>
    <row r="155" spans="1:22" s="81" customFormat="1" ht="36" customHeight="1" thickBot="1" x14ac:dyDescent="0.3">
      <c r="A155" s="95">
        <v>25</v>
      </c>
      <c r="B155" s="107">
        <f>(SUM(M152:M154)*D8)*(1+2%)^25</f>
        <v>159.41221579548957</v>
      </c>
      <c r="C155" s="107">
        <f>(SUM(N152:N154)*D9)*(1+2%)^25</f>
        <v>0</v>
      </c>
      <c r="D155" s="96">
        <f>SUM(S152:S154)</f>
        <v>0</v>
      </c>
      <c r="E155" s="108">
        <f>SUM(B155:D155)</f>
        <v>159.41221579548957</v>
      </c>
      <c r="F155" s="138">
        <f>SUM(V152:V154)</f>
        <v>1719.3440833409832</v>
      </c>
      <c r="G155" s="193"/>
      <c r="H155" s="76"/>
      <c r="I155" s="235"/>
      <c r="J155" s="77"/>
      <c r="K155" s="78"/>
      <c r="L155" s="78"/>
      <c r="M155" s="78"/>
      <c r="N155" s="78"/>
      <c r="O155" s="79"/>
      <c r="P155" s="195"/>
      <c r="Q155" s="196"/>
      <c r="R155" s="197"/>
      <c r="S155" s="198"/>
      <c r="T155" s="80"/>
      <c r="U155" s="199"/>
      <c r="V155" s="161"/>
    </row>
    <row r="156" spans="1:22" s="39" customFormat="1" ht="151.5" customHeight="1" x14ac:dyDescent="0.25">
      <c r="A156" s="85"/>
      <c r="B156" s="58"/>
      <c r="C156" s="58"/>
      <c r="D156" s="58"/>
      <c r="E156" s="59"/>
      <c r="F156" s="136"/>
      <c r="G156" s="216" t="s">
        <v>569</v>
      </c>
      <c r="H156" s="234" t="s">
        <v>620</v>
      </c>
      <c r="I156" s="236"/>
      <c r="J156" s="133">
        <v>60</v>
      </c>
      <c r="K156" s="217">
        <v>1</v>
      </c>
      <c r="L156" s="217"/>
      <c r="M156" s="218">
        <f>J156*K156/60</f>
        <v>1</v>
      </c>
      <c r="N156" s="218">
        <f>J156*L156/60</f>
        <v>0</v>
      </c>
      <c r="O156" s="134" t="s">
        <v>632</v>
      </c>
      <c r="P156" s="219" t="s">
        <v>568</v>
      </c>
      <c r="Q156" s="215" t="s">
        <v>618</v>
      </c>
      <c r="R156" s="220"/>
      <c r="S156" s="311">
        <v>50</v>
      </c>
      <c r="T156" s="219" t="s">
        <v>619</v>
      </c>
      <c r="U156" s="219" t="s">
        <v>591</v>
      </c>
      <c r="V156" s="160"/>
    </row>
    <row r="157" spans="1:22" x14ac:dyDescent="0.25">
      <c r="G157" s="153"/>
      <c r="H157" s="221"/>
      <c r="I157" s="153"/>
      <c r="J157" s="153"/>
      <c r="K157" s="153"/>
      <c r="L157" s="153"/>
      <c r="M157" s="153"/>
      <c r="N157" s="153"/>
      <c r="O157" s="153"/>
      <c r="P157" s="153"/>
      <c r="Q157" s="153"/>
      <c r="R157" s="153"/>
      <c r="S157" s="153"/>
      <c r="T157" s="153"/>
      <c r="U157" s="222"/>
    </row>
    <row r="158" spans="1:22" x14ac:dyDescent="0.25">
      <c r="G158" s="153"/>
      <c r="H158" s="221"/>
      <c r="I158" s="153"/>
      <c r="J158" s="153"/>
      <c r="K158" s="153"/>
      <c r="L158" s="153"/>
      <c r="M158" s="153"/>
      <c r="N158" s="153"/>
      <c r="O158" s="153"/>
      <c r="P158" s="153"/>
      <c r="Q158" s="153"/>
      <c r="R158" s="153"/>
      <c r="S158" s="153"/>
      <c r="T158" s="153"/>
      <c r="U158" s="222"/>
    </row>
    <row r="159" spans="1:22" x14ac:dyDescent="0.25">
      <c r="G159" s="153"/>
      <c r="H159" s="221"/>
      <c r="I159" s="153"/>
      <c r="J159" s="153"/>
      <c r="K159" s="153"/>
      <c r="L159" s="153"/>
      <c r="M159" s="153"/>
      <c r="N159" s="153"/>
      <c r="O159" s="153"/>
      <c r="P159" s="153"/>
      <c r="Q159" s="153"/>
      <c r="R159" s="153"/>
      <c r="S159" s="153"/>
      <c r="T159" s="153"/>
      <c r="U159" s="222"/>
    </row>
    <row r="160" spans="1:22" x14ac:dyDescent="0.25">
      <c r="G160" s="153"/>
      <c r="H160" s="221"/>
      <c r="I160" s="153"/>
      <c r="J160" s="153"/>
      <c r="K160" s="153"/>
      <c r="L160" s="153"/>
      <c r="M160" s="153"/>
      <c r="N160" s="153"/>
      <c r="O160" s="153"/>
      <c r="P160" s="153"/>
      <c r="Q160" s="153"/>
      <c r="R160" s="153"/>
      <c r="S160" s="153"/>
      <c r="T160" s="153"/>
      <c r="U160" s="222"/>
    </row>
    <row r="161" spans="7:21" x14ac:dyDescent="0.25">
      <c r="G161" s="153"/>
      <c r="H161" s="221"/>
      <c r="I161" s="153"/>
      <c r="J161" s="153"/>
      <c r="K161" s="153"/>
      <c r="L161" s="153"/>
      <c r="M161" s="153"/>
      <c r="N161" s="153"/>
      <c r="O161" s="153"/>
      <c r="P161" s="153"/>
      <c r="Q161" s="153"/>
      <c r="R161" s="153"/>
      <c r="S161" s="153"/>
      <c r="T161" s="153"/>
      <c r="U161" s="222"/>
    </row>
    <row r="162" spans="7:21" x14ac:dyDescent="0.25">
      <c r="G162" s="153"/>
      <c r="H162" s="221"/>
      <c r="I162" s="153"/>
      <c r="J162" s="153"/>
      <c r="K162" s="153"/>
      <c r="L162" s="153"/>
      <c r="M162" s="153"/>
      <c r="N162" s="153"/>
      <c r="O162" s="153"/>
      <c r="P162" s="153"/>
      <c r="Q162" s="153"/>
      <c r="R162" s="153"/>
      <c r="S162" s="153"/>
      <c r="T162" s="153"/>
      <c r="U162" s="222"/>
    </row>
    <row r="163" spans="7:21" x14ac:dyDescent="0.25">
      <c r="G163" s="153"/>
      <c r="H163" s="221"/>
      <c r="I163" s="153"/>
      <c r="J163" s="153"/>
      <c r="K163" s="153"/>
      <c r="L163" s="153"/>
      <c r="M163" s="153"/>
      <c r="N163" s="153"/>
      <c r="O163" s="153"/>
      <c r="P163" s="153"/>
      <c r="Q163" s="153"/>
      <c r="R163" s="153"/>
      <c r="S163" s="153"/>
      <c r="T163" s="153"/>
      <c r="U163" s="222"/>
    </row>
    <row r="164" spans="7:21" x14ac:dyDescent="0.25">
      <c r="G164" s="153"/>
      <c r="H164" s="221"/>
      <c r="I164" s="153"/>
      <c r="J164" s="153"/>
      <c r="K164" s="153"/>
      <c r="L164" s="153"/>
      <c r="M164" s="153"/>
      <c r="N164" s="153"/>
      <c r="O164" s="153"/>
      <c r="P164" s="153"/>
      <c r="Q164" s="153"/>
      <c r="R164" s="153"/>
      <c r="S164" s="153"/>
      <c r="T164" s="153"/>
      <c r="U164" s="222"/>
    </row>
    <row r="165" spans="7:21" x14ac:dyDescent="0.25">
      <c r="G165" s="153"/>
      <c r="H165" s="221"/>
      <c r="I165" s="153"/>
      <c r="J165" s="153"/>
      <c r="K165" s="153"/>
      <c r="L165" s="153"/>
      <c r="M165" s="153"/>
      <c r="N165" s="153"/>
      <c r="O165" s="153"/>
      <c r="P165" s="153"/>
      <c r="Q165" s="153"/>
      <c r="R165" s="153"/>
      <c r="S165" s="153"/>
      <c r="T165" s="153"/>
      <c r="U165" s="222"/>
    </row>
  </sheetData>
  <mergeCells count="5">
    <mergeCell ref="J10:O10"/>
    <mergeCell ref="Q10:S10"/>
    <mergeCell ref="E8:E9"/>
    <mergeCell ref="B8:C8"/>
    <mergeCell ref="B9:C9"/>
  </mergeCells>
  <pageMargins left="0.7" right="0.7" top="0.78740157499999996" bottom="0.78740157499999996"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92A50-3396-47B4-AC19-492735125973}">
  <dimension ref="A1:T50"/>
  <sheetViews>
    <sheetView zoomScale="80" zoomScaleNormal="80" workbookViewId="0">
      <selection activeCell="A20" sqref="A20:A22"/>
    </sheetView>
  </sheetViews>
  <sheetFormatPr baseColWidth="10" defaultRowHeight="15.75" x14ac:dyDescent="0.25"/>
  <cols>
    <col min="1" max="1" width="19.125" customWidth="1"/>
    <col min="17" max="17" width="32.125" customWidth="1"/>
  </cols>
  <sheetData>
    <row r="1" spans="1:20" ht="36.75" customHeight="1" x14ac:dyDescent="0.25">
      <c r="A1" s="264" t="s">
        <v>623</v>
      </c>
      <c r="B1" s="244"/>
      <c r="C1" s="244"/>
      <c r="D1" s="244"/>
      <c r="E1" s="244"/>
      <c r="F1" s="244"/>
      <c r="G1" s="244"/>
      <c r="H1" s="244"/>
      <c r="I1" s="244"/>
      <c r="J1" s="244"/>
      <c r="K1" s="244"/>
      <c r="L1" s="242"/>
      <c r="M1" s="244"/>
      <c r="N1" s="244"/>
      <c r="O1" s="244"/>
      <c r="P1" s="244"/>
      <c r="Q1" s="244"/>
      <c r="R1" s="244"/>
      <c r="S1" s="244"/>
      <c r="T1" s="244"/>
    </row>
    <row r="2" spans="1:20" ht="42.75" customHeight="1" x14ac:dyDescent="0.25">
      <c r="A2" s="429" t="s">
        <v>582</v>
      </c>
      <c r="B2" s="429"/>
      <c r="C2" s="429"/>
      <c r="D2" s="429"/>
      <c r="E2" s="429"/>
      <c r="F2" s="429"/>
      <c r="G2" s="429"/>
      <c r="H2" s="429"/>
      <c r="I2" s="429"/>
      <c r="J2" s="429"/>
      <c r="K2" s="429"/>
      <c r="L2" s="429"/>
      <c r="M2" s="429"/>
      <c r="N2" s="429"/>
      <c r="O2" s="429"/>
      <c r="P2" s="429"/>
      <c r="Q2" s="244"/>
      <c r="R2" s="244"/>
      <c r="S2" s="244"/>
      <c r="T2" s="244"/>
    </row>
    <row r="3" spans="1:20" s="126" customFormat="1" ht="21" customHeight="1" x14ac:dyDescent="0.25">
      <c r="A3" s="265"/>
      <c r="B3" s="244"/>
      <c r="C3" s="244"/>
      <c r="D3" s="244"/>
      <c r="E3" s="244"/>
      <c r="F3" s="244"/>
      <c r="G3" s="244"/>
      <c r="H3" s="244"/>
      <c r="I3" s="244"/>
      <c r="J3" s="244"/>
      <c r="K3" s="244"/>
      <c r="L3" s="243"/>
      <c r="M3" s="244"/>
      <c r="N3" s="244"/>
      <c r="O3" s="244"/>
      <c r="P3" s="244"/>
      <c r="Q3" s="244"/>
      <c r="R3" s="244"/>
      <c r="S3" s="244"/>
      <c r="T3" s="244"/>
    </row>
    <row r="4" spans="1:20" s="244" customFormat="1" ht="19.5" customHeight="1" x14ac:dyDescent="0.25">
      <c r="A4" s="244" t="s">
        <v>638</v>
      </c>
      <c r="B4" s="244" t="s">
        <v>639</v>
      </c>
      <c r="L4" s="243"/>
    </row>
    <row r="5" spans="1:20" s="244" customFormat="1" x14ac:dyDescent="0.25"/>
    <row r="6" spans="1:20" s="244" customFormat="1" ht="18.75" x14ac:dyDescent="0.3">
      <c r="A6" s="244" t="s">
        <v>640</v>
      </c>
      <c r="B6" s="244" t="s">
        <v>641</v>
      </c>
      <c r="Q6" s="266"/>
    </row>
    <row r="7" spans="1:20" s="244" customFormat="1" ht="18.75" x14ac:dyDescent="0.3">
      <c r="Q7" s="266"/>
    </row>
    <row r="8" spans="1:20" s="244" customFormat="1" ht="18.75" x14ac:dyDescent="0.3">
      <c r="A8" s="244" t="s">
        <v>642</v>
      </c>
      <c r="B8" s="244" t="s">
        <v>643</v>
      </c>
      <c r="Q8" s="266"/>
    </row>
    <row r="9" spans="1:20" s="244" customFormat="1" x14ac:dyDescent="0.25">
      <c r="A9" s="244" t="s">
        <v>645</v>
      </c>
      <c r="B9" s="244" t="s">
        <v>644</v>
      </c>
      <c r="Q9" s="267"/>
    </row>
    <row r="10" spans="1:20" s="244" customFormat="1" x14ac:dyDescent="0.25">
      <c r="Q10" s="267"/>
    </row>
    <row r="11" spans="1:20" s="244" customFormat="1" x14ac:dyDescent="0.25">
      <c r="A11" s="244" t="s">
        <v>647</v>
      </c>
      <c r="B11" s="244" t="s">
        <v>646</v>
      </c>
      <c r="H11" s="244" t="s">
        <v>649</v>
      </c>
    </row>
    <row r="12" spans="1:20" x14ac:dyDescent="0.25">
      <c r="A12" s="244"/>
      <c r="B12" s="244"/>
      <c r="C12" s="244"/>
      <c r="D12" s="244"/>
      <c r="E12" s="244"/>
      <c r="F12" s="244"/>
      <c r="G12" s="244"/>
      <c r="H12" s="244"/>
      <c r="I12" s="244"/>
      <c r="J12" s="244"/>
      <c r="K12" s="244"/>
      <c r="L12" s="244"/>
      <c r="M12" s="244"/>
      <c r="N12" s="244"/>
      <c r="O12" s="244"/>
      <c r="P12" s="244"/>
      <c r="Q12" s="244"/>
      <c r="R12" s="244"/>
      <c r="S12" s="244"/>
      <c r="T12" s="244"/>
    </row>
    <row r="13" spans="1:20" ht="16.5" thickBot="1" x14ac:dyDescent="0.3">
      <c r="A13" s="244"/>
      <c r="B13" s="244"/>
      <c r="C13" s="244"/>
      <c r="D13" s="244"/>
      <c r="E13" s="244"/>
      <c r="F13" s="244"/>
      <c r="G13" s="244"/>
      <c r="H13" s="244"/>
      <c r="I13" s="244"/>
      <c r="J13" s="244"/>
      <c r="K13" s="244"/>
      <c r="L13" s="244"/>
      <c r="M13" s="244"/>
      <c r="N13" s="244"/>
      <c r="O13" s="244"/>
      <c r="P13" s="244"/>
      <c r="Q13" s="244"/>
      <c r="R13" s="244"/>
      <c r="S13" s="244"/>
      <c r="T13" s="244"/>
    </row>
    <row r="14" spans="1:20" s="244" customFormat="1" ht="18.75" x14ac:dyDescent="0.3">
      <c r="A14" s="388" t="s">
        <v>567</v>
      </c>
      <c r="B14" s="378"/>
      <c r="C14" s="378"/>
      <c r="D14" s="378"/>
      <c r="E14" s="378"/>
      <c r="F14" s="378"/>
      <c r="G14" s="378"/>
      <c r="H14" s="378"/>
      <c r="I14" s="378"/>
      <c r="J14" s="378"/>
      <c r="K14" s="378"/>
      <c r="L14" s="378"/>
      <c r="M14" s="378"/>
      <c r="N14" s="378"/>
      <c r="O14" s="378"/>
      <c r="Q14" s="381" t="s">
        <v>552</v>
      </c>
      <c r="R14" s="382" t="s">
        <v>414</v>
      </c>
    </row>
    <row r="15" spans="1:20" s="244" customFormat="1" ht="40.5" customHeight="1" x14ac:dyDescent="0.25">
      <c r="A15" s="243" t="s">
        <v>648</v>
      </c>
      <c r="H15" s="430" t="s">
        <v>650</v>
      </c>
      <c r="I15" s="431"/>
      <c r="J15" s="431"/>
      <c r="K15" s="431"/>
      <c r="L15" s="431"/>
      <c r="M15" s="431"/>
      <c r="N15" s="431"/>
      <c r="O15" s="431"/>
      <c r="Q15" s="238" t="s">
        <v>511</v>
      </c>
      <c r="R15" s="383">
        <v>20</v>
      </c>
    </row>
    <row r="16" spans="1:20" s="244" customFormat="1" ht="20.25" customHeight="1" x14ac:dyDescent="0.25">
      <c r="A16" s="244" t="s">
        <v>580</v>
      </c>
      <c r="Q16" s="238" t="s">
        <v>575</v>
      </c>
      <c r="R16" s="384">
        <v>50</v>
      </c>
    </row>
    <row r="17" spans="1:18" s="244" customFormat="1" ht="20.25" customHeight="1" x14ac:dyDescent="0.25">
      <c r="Q17" s="238" t="s">
        <v>504</v>
      </c>
      <c r="R17" s="383">
        <v>20</v>
      </c>
    </row>
    <row r="18" spans="1:18" s="244" customFormat="1" ht="39" customHeight="1" x14ac:dyDescent="0.25">
      <c r="A18" s="354" t="s">
        <v>652</v>
      </c>
      <c r="B18" s="243" t="s">
        <v>651</v>
      </c>
      <c r="Q18" s="238" t="s">
        <v>505</v>
      </c>
      <c r="R18" s="384">
        <v>30</v>
      </c>
    </row>
    <row r="19" spans="1:18" s="244" customFormat="1" ht="20.25" customHeight="1" x14ac:dyDescent="0.25">
      <c r="Q19" s="238" t="s">
        <v>506</v>
      </c>
      <c r="R19" s="385"/>
    </row>
    <row r="20" spans="1:18" s="244" customFormat="1" ht="45" customHeight="1" thickBot="1" x14ac:dyDescent="0.3">
      <c r="A20" s="354" t="s">
        <v>653</v>
      </c>
      <c r="B20" s="243" t="s">
        <v>654</v>
      </c>
      <c r="Q20" s="386" t="s">
        <v>507</v>
      </c>
      <c r="R20" s="387">
        <v>30</v>
      </c>
    </row>
    <row r="21" spans="1:18" s="244" customFormat="1" ht="21" customHeight="1" x14ac:dyDescent="0.25">
      <c r="A21" s="313" t="s">
        <v>655</v>
      </c>
      <c r="B21" s="243" t="s">
        <v>656</v>
      </c>
      <c r="Q21" s="240" t="s">
        <v>553</v>
      </c>
      <c r="R21" s="269">
        <f>SUM(R15:R20)</f>
        <v>150</v>
      </c>
    </row>
    <row r="22" spans="1:18" s="244" customFormat="1" ht="21" customHeight="1" x14ac:dyDescent="0.25">
      <c r="A22" s="313" t="s">
        <v>657</v>
      </c>
      <c r="B22" s="313" t="s">
        <v>581</v>
      </c>
      <c r="Q22" s="237" t="s">
        <v>554</v>
      </c>
      <c r="R22" s="269">
        <f>SUM(R16,R18,R20)</f>
        <v>110</v>
      </c>
    </row>
    <row r="23" spans="1:18" s="244" customFormat="1" ht="21" customHeight="1" x14ac:dyDescent="0.25">
      <c r="A23" s="313"/>
      <c r="Q23" s="237" t="s">
        <v>549</v>
      </c>
      <c r="R23" s="269">
        <f>SUM(R15,R17)</f>
        <v>40</v>
      </c>
    </row>
    <row r="24" spans="1:18" s="244" customFormat="1" x14ac:dyDescent="0.25">
      <c r="A24" s="270" t="s">
        <v>574</v>
      </c>
      <c r="B24" s="270"/>
      <c r="C24" s="270"/>
      <c r="D24" s="270"/>
      <c r="E24" s="270"/>
      <c r="F24" s="271"/>
      <c r="H24" s="244" t="s">
        <v>445</v>
      </c>
      <c r="Q24" s="237"/>
      <c r="R24" s="269"/>
    </row>
    <row r="25" spans="1:18" s="244" customFormat="1" x14ac:dyDescent="0.25">
      <c r="A25" s="272">
        <f>0.25*14</f>
        <v>3.5</v>
      </c>
      <c r="B25" s="273" t="s">
        <v>443</v>
      </c>
      <c r="C25" s="274" t="s">
        <v>442</v>
      </c>
      <c r="D25" s="274"/>
      <c r="E25" s="275"/>
      <c r="Q25" s="237"/>
      <c r="R25" s="269"/>
    </row>
    <row r="26" spans="1:18" s="267" customFormat="1" x14ac:dyDescent="0.25">
      <c r="A26" s="276"/>
      <c r="B26" s="277"/>
      <c r="Q26" s="237"/>
      <c r="R26" s="269"/>
    </row>
    <row r="27" spans="1:18" s="267" customFormat="1" x14ac:dyDescent="0.25">
      <c r="A27" s="276"/>
      <c r="B27" s="277"/>
      <c r="Q27" s="237"/>
      <c r="R27" s="269"/>
    </row>
    <row r="28" spans="1:18" s="267" customFormat="1" ht="18.75" x14ac:dyDescent="0.3">
      <c r="A28" s="388" t="s">
        <v>566</v>
      </c>
      <c r="B28" s="378"/>
      <c r="C28" s="378"/>
      <c r="D28" s="378"/>
      <c r="E28" s="378"/>
      <c r="F28" s="378"/>
      <c r="G28" s="378"/>
      <c r="H28" s="378"/>
      <c r="I28" s="378"/>
      <c r="J28" s="378"/>
      <c r="K28" s="378"/>
      <c r="L28" s="378"/>
      <c r="M28" s="378"/>
      <c r="N28" s="378"/>
      <c r="O28" s="378"/>
      <c r="Q28" s="237"/>
      <c r="R28" s="269"/>
    </row>
    <row r="29" spans="1:18" s="267" customFormat="1" x14ac:dyDescent="0.25">
      <c r="A29" s="278" t="s">
        <v>658</v>
      </c>
      <c r="B29" s="278" t="s">
        <v>660</v>
      </c>
      <c r="H29" s="267" t="s">
        <v>550</v>
      </c>
      <c r="Q29" s="237"/>
      <c r="R29" s="269"/>
    </row>
    <row r="30" spans="1:18" s="267" customFormat="1" x14ac:dyDescent="0.25">
      <c r="A30" s="278" t="s">
        <v>659</v>
      </c>
      <c r="B30" s="278" t="s">
        <v>661</v>
      </c>
      <c r="H30" s="267" t="s">
        <v>551</v>
      </c>
      <c r="Q30" s="237"/>
      <c r="R30" s="269"/>
    </row>
    <row r="31" spans="1:18" s="244" customFormat="1" x14ac:dyDescent="0.25"/>
    <row r="32" spans="1:18" s="244" customFormat="1" x14ac:dyDescent="0.25">
      <c r="A32" s="244" t="s">
        <v>662</v>
      </c>
      <c r="B32" s="244" t="s">
        <v>663</v>
      </c>
    </row>
    <row r="33" spans="1:18" s="244" customFormat="1" x14ac:dyDescent="0.25"/>
    <row r="34" spans="1:18" s="244" customFormat="1" x14ac:dyDescent="0.25">
      <c r="A34" s="244" t="s">
        <v>555</v>
      </c>
    </row>
    <row r="35" spans="1:18" s="244" customFormat="1" x14ac:dyDescent="0.25"/>
    <row r="36" spans="1:18" s="244" customFormat="1" x14ac:dyDescent="0.25">
      <c r="A36" s="244" t="s">
        <v>573</v>
      </c>
    </row>
    <row r="37" spans="1:18" s="244" customFormat="1" ht="47.25" x14ac:dyDescent="0.25">
      <c r="B37" s="239" t="s">
        <v>559</v>
      </c>
      <c r="C37" s="239" t="s">
        <v>563</v>
      </c>
      <c r="D37" s="239" t="s">
        <v>564</v>
      </c>
      <c r="E37" s="268" t="s">
        <v>565</v>
      </c>
    </row>
    <row r="38" spans="1:18" s="244" customFormat="1" x14ac:dyDescent="0.25">
      <c r="A38" s="279" t="s">
        <v>557</v>
      </c>
      <c r="B38" s="280">
        <v>10</v>
      </c>
      <c r="C38" s="281">
        <f>B38*13.3/100</f>
        <v>1.33</v>
      </c>
      <c r="D38" s="281">
        <f>C38/1.25</f>
        <v>1.0640000000000001</v>
      </c>
      <c r="E38" s="282">
        <f>14*D38</f>
        <v>14.896000000000001</v>
      </c>
      <c r="F38" s="275" t="s">
        <v>442</v>
      </c>
      <c r="G38" s="275"/>
      <c r="H38" s="275"/>
    </row>
    <row r="39" spans="1:18" s="244" customFormat="1" x14ac:dyDescent="0.25">
      <c r="A39" s="279" t="s">
        <v>558</v>
      </c>
      <c r="B39" s="280">
        <v>13</v>
      </c>
      <c r="C39" s="281">
        <f t="shared" ref="C39:C43" si="0">B39*13.3/100</f>
        <v>1.7290000000000001</v>
      </c>
      <c r="D39" s="281">
        <f t="shared" ref="D39:D43" si="1">C39/1.25</f>
        <v>1.3832</v>
      </c>
      <c r="E39" s="282">
        <f t="shared" ref="E39:E43" si="2">14*D39</f>
        <v>19.364799999999999</v>
      </c>
    </row>
    <row r="40" spans="1:18" s="244" customFormat="1" x14ac:dyDescent="0.25">
      <c r="A40" s="279" t="s">
        <v>556</v>
      </c>
      <c r="B40" s="280">
        <v>16</v>
      </c>
      <c r="C40" s="281">
        <f t="shared" si="0"/>
        <v>2.1280000000000001</v>
      </c>
      <c r="D40" s="281">
        <f t="shared" si="1"/>
        <v>1.7024000000000001</v>
      </c>
      <c r="E40" s="282">
        <f t="shared" si="2"/>
        <v>23.833600000000001</v>
      </c>
    </row>
    <row r="41" spans="1:18" s="244" customFormat="1" x14ac:dyDescent="0.25">
      <c r="A41" s="283" t="s">
        <v>560</v>
      </c>
      <c r="B41" s="280">
        <v>19</v>
      </c>
      <c r="C41" s="281">
        <f t="shared" si="0"/>
        <v>2.5270000000000001</v>
      </c>
      <c r="D41" s="281">
        <f t="shared" si="1"/>
        <v>2.0216000000000003</v>
      </c>
      <c r="E41" s="282">
        <f t="shared" si="2"/>
        <v>28.302400000000006</v>
      </c>
    </row>
    <row r="42" spans="1:18" s="244" customFormat="1" x14ac:dyDescent="0.25">
      <c r="A42" s="283" t="s">
        <v>561</v>
      </c>
      <c r="B42" s="280">
        <v>22</v>
      </c>
      <c r="C42" s="281">
        <f t="shared" si="0"/>
        <v>2.9260000000000002</v>
      </c>
      <c r="D42" s="281">
        <f t="shared" si="1"/>
        <v>2.3408000000000002</v>
      </c>
      <c r="E42" s="282">
        <f t="shared" si="2"/>
        <v>32.7712</v>
      </c>
    </row>
    <row r="43" spans="1:18" s="244" customFormat="1" x14ac:dyDescent="0.25">
      <c r="A43" s="283" t="s">
        <v>562</v>
      </c>
      <c r="B43" s="280">
        <v>25</v>
      </c>
      <c r="C43" s="281">
        <f t="shared" si="0"/>
        <v>3.3250000000000002</v>
      </c>
      <c r="D43" s="281">
        <f t="shared" si="1"/>
        <v>2.66</v>
      </c>
      <c r="E43" s="282">
        <f t="shared" si="2"/>
        <v>37.24</v>
      </c>
    </row>
    <row r="44" spans="1:18" s="244" customFormat="1" x14ac:dyDescent="0.25"/>
    <row r="45" spans="1:18" s="244" customFormat="1" x14ac:dyDescent="0.25"/>
    <row r="46" spans="1:18" s="267" customFormat="1" ht="18.75" x14ac:dyDescent="0.3">
      <c r="A46" s="388" t="s">
        <v>572</v>
      </c>
      <c r="B46" s="378"/>
      <c r="C46" s="378"/>
      <c r="D46" s="378"/>
      <c r="Q46" s="237"/>
      <c r="R46" s="269"/>
    </row>
    <row r="47" spans="1:18" s="244" customFormat="1" ht="33.75" customHeight="1" x14ac:dyDescent="0.25">
      <c r="A47" s="432" t="s">
        <v>664</v>
      </c>
      <c r="B47" s="431"/>
      <c r="C47" s="431"/>
      <c r="D47" s="431"/>
      <c r="E47" s="380"/>
      <c r="F47" s="380"/>
    </row>
    <row r="48" spans="1:18" s="244" customFormat="1" x14ac:dyDescent="0.25">
      <c r="A48" s="275" t="s">
        <v>442</v>
      </c>
      <c r="B48" s="275"/>
      <c r="C48" s="275"/>
      <c r="D48" s="275"/>
    </row>
    <row r="49" spans="1:20" s="244" customFormat="1" x14ac:dyDescent="0.25"/>
    <row r="50" spans="1:20" x14ac:dyDescent="0.25">
      <c r="A50" s="244"/>
      <c r="B50" s="244"/>
      <c r="C50" s="244"/>
      <c r="D50" s="244"/>
      <c r="E50" s="244"/>
      <c r="F50" s="244"/>
      <c r="G50" s="244"/>
      <c r="H50" s="244"/>
      <c r="I50" s="244"/>
      <c r="J50" s="244"/>
      <c r="K50" s="244"/>
      <c r="L50" s="244"/>
      <c r="M50" s="244"/>
      <c r="N50" s="244"/>
      <c r="O50" s="244"/>
      <c r="P50" s="244"/>
      <c r="Q50" s="244"/>
      <c r="R50" s="244"/>
      <c r="S50" s="244"/>
      <c r="T50" s="244"/>
    </row>
  </sheetData>
  <mergeCells count="3">
    <mergeCell ref="A2:P2"/>
    <mergeCell ref="H15:O15"/>
    <mergeCell ref="A47:D4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90"/>
  <sheetViews>
    <sheetView workbookViewId="0">
      <pane xSplit="1" ySplit="1" topLeftCell="F2" activePane="bottomRight" state="frozen"/>
      <selection pane="topRight" activeCell="B1" sqref="B1"/>
      <selection pane="bottomLeft" activeCell="A2" sqref="A2"/>
      <selection pane="bottomRight" activeCell="AF21" sqref="AF2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9</v>
      </c>
      <c r="B1" s="14" t="s">
        <v>21</v>
      </c>
      <c r="C1" s="14" t="s">
        <v>22</v>
      </c>
      <c r="D1" s="14" t="s">
        <v>23</v>
      </c>
      <c r="E1" s="14" t="s">
        <v>24</v>
      </c>
      <c r="F1" s="14" t="s">
        <v>25</v>
      </c>
      <c r="G1" s="14" t="s">
        <v>26</v>
      </c>
      <c r="H1" s="14" t="s">
        <v>27</v>
      </c>
      <c r="I1" s="14" t="s">
        <v>28</v>
      </c>
      <c r="J1" s="14" t="s">
        <v>29</v>
      </c>
      <c r="K1" s="14" t="s">
        <v>30</v>
      </c>
      <c r="L1" s="14" t="s">
        <v>32</v>
      </c>
      <c r="M1" s="14" t="s">
        <v>31</v>
      </c>
      <c r="N1" s="14" t="s">
        <v>33</v>
      </c>
      <c r="O1" s="14" t="s">
        <v>34</v>
      </c>
      <c r="P1" s="14" t="s">
        <v>35</v>
      </c>
      <c r="Q1" s="14" t="s">
        <v>36</v>
      </c>
      <c r="R1" s="14" t="s">
        <v>37</v>
      </c>
      <c r="S1" s="14" t="s">
        <v>38</v>
      </c>
      <c r="T1" s="14" t="s">
        <v>39</v>
      </c>
      <c r="U1" s="14" t="s">
        <v>40</v>
      </c>
      <c r="V1" s="14" t="s">
        <v>41</v>
      </c>
      <c r="W1" s="14" t="s">
        <v>42</v>
      </c>
      <c r="X1" s="14" t="s">
        <v>43</v>
      </c>
      <c r="Y1" s="14" t="s">
        <v>44</v>
      </c>
      <c r="Z1" s="14" t="s">
        <v>45</v>
      </c>
      <c r="AA1" s="14" t="s">
        <v>46</v>
      </c>
      <c r="AB1" s="14" t="s">
        <v>47</v>
      </c>
      <c r="AC1" s="14" t="s">
        <v>48</v>
      </c>
      <c r="AD1" s="14" t="s">
        <v>49</v>
      </c>
      <c r="AE1" s="14" t="s">
        <v>50</v>
      </c>
      <c r="AF1" s="14" t="s">
        <v>51</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v>8</v>
      </c>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8</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v>10</v>
      </c>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10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v>12</v>
      </c>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12</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v>20</v>
      </c>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20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5">
        <f t="shared" si="0"/>
        <v>50</v>
      </c>
      <c r="AG45" s="27">
        <f>SUM(B45:AF45)</f>
        <v>50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E0A3-83FA-4880-94A9-572E2BFFC428}">
  <dimension ref="A1:AG190"/>
  <sheetViews>
    <sheetView workbookViewId="0">
      <pane xSplit="1" ySplit="1" topLeftCell="B2" activePane="bottomRight" state="frozen"/>
      <selection pane="topRight" activeCell="B1" sqref="B1"/>
      <selection pane="bottomLeft" activeCell="A2" sqref="A2"/>
      <selection pane="bottomRight" activeCell="AD41" sqref="AD41"/>
    </sheetView>
  </sheetViews>
  <sheetFormatPr baseColWidth="10" defaultColWidth="10.75" defaultRowHeight="15" x14ac:dyDescent="0.2"/>
  <cols>
    <col min="1" max="1" width="18.625" style="2" bestFit="1" customWidth="1"/>
    <col min="2" max="2" width="9" style="6" customWidth="1"/>
    <col min="3" max="10" width="7.75" style="2" customWidth="1"/>
    <col min="11" max="11" width="7.625" style="2" customWidth="1"/>
    <col min="12" max="12" width="7.75" style="2" bestFit="1" customWidth="1"/>
    <col min="13" max="14" width="7.75" style="2" customWidth="1"/>
    <col min="15" max="15" width="8.75" style="2" bestFit="1" customWidth="1"/>
    <col min="16" max="19" width="7.75" style="2" customWidth="1"/>
    <col min="20" max="20" width="7.625" style="2" customWidth="1"/>
    <col min="21" max="24" width="7.75" style="2" customWidth="1"/>
    <col min="25" max="26" width="7.625" style="2" customWidth="1"/>
    <col min="27" max="29" width="7.75" style="2" customWidth="1"/>
    <col min="30" max="30" width="18.625" style="15" bestFit="1" customWidth="1"/>
    <col min="31" max="16384" width="10.75" style="2"/>
  </cols>
  <sheetData>
    <row r="1" spans="1:33" s="15" customFormat="1" ht="15.75" x14ac:dyDescent="0.25">
      <c r="A1" s="28" t="s">
        <v>18</v>
      </c>
      <c r="B1" s="14" t="s">
        <v>57</v>
      </c>
      <c r="C1" s="14" t="s">
        <v>58</v>
      </c>
      <c r="D1" s="14" t="s">
        <v>59</v>
      </c>
      <c r="E1" s="14" t="s">
        <v>60</v>
      </c>
      <c r="F1" s="14" t="s">
        <v>61</v>
      </c>
      <c r="G1" s="14" t="s">
        <v>62</v>
      </c>
      <c r="H1" s="14" t="s">
        <v>63</v>
      </c>
      <c r="I1" s="14" t="s">
        <v>64</v>
      </c>
      <c r="J1" s="14" t="s">
        <v>65</v>
      </c>
      <c r="K1" s="14" t="s">
        <v>66</v>
      </c>
      <c r="L1" s="14" t="s">
        <v>67</v>
      </c>
      <c r="M1" s="14" t="s">
        <v>68</v>
      </c>
      <c r="N1" s="14" t="s">
        <v>69</v>
      </c>
      <c r="O1" s="14" t="s">
        <v>70</v>
      </c>
      <c r="P1" s="14" t="s">
        <v>71</v>
      </c>
      <c r="Q1" s="14" t="s">
        <v>72</v>
      </c>
      <c r="R1" s="14" t="s">
        <v>73</v>
      </c>
      <c r="S1" s="14" t="s">
        <v>74</v>
      </c>
      <c r="T1" s="14" t="s">
        <v>75</v>
      </c>
      <c r="U1" s="14" t="s">
        <v>76</v>
      </c>
      <c r="V1" s="14" t="s">
        <v>77</v>
      </c>
      <c r="W1" s="14" t="s">
        <v>78</v>
      </c>
      <c r="X1" s="14" t="s">
        <v>79</v>
      </c>
      <c r="Y1" s="14" t="s">
        <v>80</v>
      </c>
      <c r="Z1" s="14" t="s">
        <v>81</v>
      </c>
      <c r="AA1" s="14" t="s">
        <v>82</v>
      </c>
      <c r="AB1" s="14" t="s">
        <v>56</v>
      </c>
      <c r="AC1" s="14" t="s">
        <v>55</v>
      </c>
      <c r="AD1" s="13" t="s">
        <v>52</v>
      </c>
      <c r="AE1" s="14"/>
      <c r="AF1" s="14"/>
      <c r="AG1" s="14"/>
    </row>
    <row r="2" spans="1:33"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24" t="s">
        <v>0</v>
      </c>
    </row>
    <row r="3" spans="1:33"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5"/>
    </row>
    <row r="4" spans="1:33"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5"/>
    </row>
    <row r="5" spans="1:33"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5"/>
    </row>
    <row r="6" spans="1:33"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9">
        <f>SUM(B2:AC6)</f>
        <v>0</v>
      </c>
    </row>
    <row r="7" spans="1:33"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24" t="s">
        <v>1</v>
      </c>
    </row>
    <row r="8" spans="1:33"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5"/>
    </row>
    <row r="9" spans="1:33"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5"/>
    </row>
    <row r="10" spans="1:33"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9">
        <f>SUM(B7:AC10)</f>
        <v>0</v>
      </c>
    </row>
    <row r="11" spans="1:33"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24" t="s">
        <v>3</v>
      </c>
    </row>
    <row r="12" spans="1:33"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row>
    <row r="13" spans="1:33"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row>
    <row r="14" spans="1:33"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9">
        <f>SUM(B11:AC14)</f>
        <v>0</v>
      </c>
    </row>
    <row r="15" spans="1:33"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24" t="s">
        <v>2</v>
      </c>
    </row>
    <row r="16" spans="1:33"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row>
    <row r="17" spans="1:30"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row>
    <row r="18" spans="1:30"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row>
    <row r="19" spans="1:30"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9">
        <f>SUM(B15:AC19)</f>
        <v>0</v>
      </c>
    </row>
    <row r="20" spans="1:30"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24" t="s">
        <v>4</v>
      </c>
    </row>
    <row r="21" spans="1:30"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row>
    <row r="22" spans="1:30"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row>
    <row r="23" spans="1:30"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row>
    <row r="24" spans="1:30"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9">
        <f>SUM(B20:AC24)</f>
        <v>0</v>
      </c>
    </row>
    <row r="25" spans="1:30"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24" t="s">
        <v>20</v>
      </c>
    </row>
    <row r="26" spans="1:30"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row>
    <row r="27" spans="1:30"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row>
    <row r="28" spans="1:30"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row>
    <row r="29" spans="1:30"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9">
        <f>SUM(B25:AC29)</f>
        <v>0</v>
      </c>
    </row>
    <row r="30" spans="1:30"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24" t="s">
        <v>5</v>
      </c>
    </row>
    <row r="31" spans="1:30"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row>
    <row r="32" spans="1:30"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row>
    <row r="33" spans="1:30"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row>
    <row r="34" spans="1:30"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9">
        <f>SUM(B30:AC34)</f>
        <v>0</v>
      </c>
    </row>
    <row r="35" spans="1:30"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26" t="s">
        <v>12</v>
      </c>
    </row>
    <row r="36" spans="1:30"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20"/>
    </row>
    <row r="37" spans="1:30"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9">
        <f>SUM(B35:AC37)</f>
        <v>0</v>
      </c>
    </row>
    <row r="38" spans="1:30"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26" t="s">
        <v>12</v>
      </c>
    </row>
    <row r="39" spans="1:30"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row>
    <row r="40" spans="1:30"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9">
        <f>SUM(B38:AC40)</f>
        <v>0</v>
      </c>
    </row>
    <row r="41" spans="1:30"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24" t="s">
        <v>388</v>
      </c>
    </row>
    <row r="42" spans="1:30"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row>
    <row r="43" spans="1:30"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row>
    <row r="44" spans="1:30"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9">
        <f>SUM(B41:AC44)</f>
        <v>0</v>
      </c>
    </row>
    <row r="45" spans="1:30" s="15" customFormat="1" ht="15.75" x14ac:dyDescent="0.25">
      <c r="A45" s="24" t="s">
        <v>19</v>
      </c>
      <c r="B45" s="25">
        <f>SUM(B2:B44)</f>
        <v>0</v>
      </c>
      <c r="C45" s="25">
        <f t="shared" ref="C45:AC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7">
        <f>SUM(B45:AC45)</f>
        <v>0</v>
      </c>
    </row>
    <row r="46" spans="1:30" x14ac:dyDescent="0.2">
      <c r="B46" s="5"/>
    </row>
    <row r="47" spans="1:30" s="4" customFormat="1" ht="15.75" x14ac:dyDescent="0.25">
      <c r="B47" s="9"/>
      <c r="AD47" s="16"/>
    </row>
    <row r="48" spans="1:30" s="4" customFormat="1" x14ac:dyDescent="0.2">
      <c r="B48" s="7"/>
      <c r="AD48" s="16"/>
    </row>
    <row r="49" spans="2:30" s="4" customFormat="1" x14ac:dyDescent="0.2">
      <c r="B49" s="7"/>
      <c r="AD49" s="16"/>
    </row>
    <row r="50" spans="2:30" s="4" customFormat="1" x14ac:dyDescent="0.2">
      <c r="B50" s="7"/>
      <c r="C50" s="10"/>
      <c r="AD50" s="16"/>
    </row>
    <row r="51" spans="2:30" s="4" customFormat="1" x14ac:dyDescent="0.2">
      <c r="B51" s="7"/>
      <c r="AD51" s="16"/>
    </row>
    <row r="52" spans="2:30" s="4" customFormat="1" x14ac:dyDescent="0.2">
      <c r="B52" s="7"/>
      <c r="L52" s="10"/>
      <c r="AD52" s="16"/>
    </row>
    <row r="53" spans="2:30" s="4" customFormat="1" x14ac:dyDescent="0.2">
      <c r="B53" s="7"/>
      <c r="AD53" s="16"/>
    </row>
    <row r="54" spans="2:30" s="4" customFormat="1" x14ac:dyDescent="0.2">
      <c r="B54" s="7"/>
      <c r="AD54" s="16"/>
    </row>
    <row r="55" spans="2:30" s="4" customFormat="1" x14ac:dyDescent="0.2">
      <c r="B55" s="7"/>
      <c r="AD55" s="16"/>
    </row>
    <row r="56" spans="2:30" s="4" customFormat="1" x14ac:dyDescent="0.2">
      <c r="B56" s="7"/>
      <c r="C56" s="10"/>
      <c r="AD56" s="16"/>
    </row>
    <row r="57" spans="2:30" s="4" customFormat="1" ht="15.75" x14ac:dyDescent="0.25">
      <c r="B57" s="7"/>
      <c r="C57" s="10"/>
      <c r="P57" s="3"/>
      <c r="AD57" s="16"/>
    </row>
    <row r="58" spans="2:30" s="4" customFormat="1" ht="15.75" x14ac:dyDescent="0.25">
      <c r="B58" s="7"/>
      <c r="H58" s="10"/>
      <c r="P58" s="3"/>
      <c r="AD58" s="16"/>
    </row>
    <row r="59" spans="2:30" s="4" customFormat="1" ht="15.75" x14ac:dyDescent="0.25">
      <c r="B59" s="7"/>
      <c r="P59" s="3"/>
      <c r="AD59" s="16"/>
    </row>
    <row r="60" spans="2:30" s="4" customFormat="1" ht="15.75" x14ac:dyDescent="0.25">
      <c r="B60" s="7"/>
      <c r="P60" s="3"/>
      <c r="AD60" s="16"/>
    </row>
    <row r="61" spans="2:30" s="4" customFormat="1" ht="15.75" x14ac:dyDescent="0.25">
      <c r="B61" s="7"/>
      <c r="P61" s="3"/>
      <c r="AD61" s="16"/>
    </row>
    <row r="62" spans="2:30" s="4" customFormat="1" ht="15.75" x14ac:dyDescent="0.25">
      <c r="B62" s="7"/>
      <c r="P62" s="3"/>
      <c r="AD62" s="16"/>
    </row>
    <row r="63" spans="2:30" s="4" customFormat="1" ht="15.75" x14ac:dyDescent="0.25">
      <c r="B63" s="7"/>
      <c r="C63" s="10"/>
      <c r="L63" s="10"/>
      <c r="P63" s="3"/>
      <c r="AD63" s="16"/>
    </row>
    <row r="64" spans="2:30" s="4" customFormat="1" ht="15.75" x14ac:dyDescent="0.25">
      <c r="B64" s="7"/>
      <c r="P64" s="3"/>
      <c r="AD64" s="16"/>
    </row>
    <row r="65" spans="2:30" s="4" customFormat="1" ht="15.75" x14ac:dyDescent="0.25">
      <c r="B65" s="7"/>
      <c r="P65" s="3"/>
      <c r="AD65" s="16"/>
    </row>
    <row r="66" spans="2:30" s="4" customFormat="1" ht="15.75" x14ac:dyDescent="0.25">
      <c r="B66" s="7"/>
      <c r="P66" s="3"/>
      <c r="AD66" s="16"/>
    </row>
    <row r="67" spans="2:30" s="4" customFormat="1" ht="15.75" x14ac:dyDescent="0.25">
      <c r="B67" s="7"/>
      <c r="P67" s="3"/>
      <c r="AD67" s="16"/>
    </row>
    <row r="68" spans="2:30" s="4" customFormat="1" x14ac:dyDescent="0.2">
      <c r="B68" s="7"/>
      <c r="AD68" s="16"/>
    </row>
    <row r="69" spans="2:30" s="4" customFormat="1" x14ac:dyDescent="0.2">
      <c r="B69" s="7"/>
      <c r="AD69" s="16"/>
    </row>
    <row r="70" spans="2:30" s="4" customFormat="1" x14ac:dyDescent="0.2">
      <c r="B70" s="7"/>
      <c r="AD70" s="16"/>
    </row>
    <row r="71" spans="2:30" s="4" customFormat="1" x14ac:dyDescent="0.2">
      <c r="B71" s="7"/>
      <c r="AD71" s="16"/>
    </row>
    <row r="72" spans="2:30" s="4" customFormat="1" x14ac:dyDescent="0.2">
      <c r="B72" s="7"/>
      <c r="AD72" s="16"/>
    </row>
    <row r="73" spans="2:30" s="4" customFormat="1" x14ac:dyDescent="0.2">
      <c r="B73" s="7"/>
      <c r="AD73" s="16"/>
    </row>
    <row r="74" spans="2:30" s="4" customFormat="1" x14ac:dyDescent="0.2">
      <c r="B74" s="7"/>
      <c r="AD74" s="16"/>
    </row>
    <row r="75" spans="2:30" s="4" customFormat="1" x14ac:dyDescent="0.2">
      <c r="B75" s="7"/>
      <c r="AD75" s="16"/>
    </row>
    <row r="76" spans="2:30" s="4" customFormat="1" x14ac:dyDescent="0.2">
      <c r="B76" s="7"/>
      <c r="AD76" s="16"/>
    </row>
    <row r="77" spans="2:30" s="4" customFormat="1" x14ac:dyDescent="0.2">
      <c r="B77" s="11"/>
      <c r="AD77" s="16"/>
    </row>
    <row r="78" spans="2:30" s="4" customFormat="1" x14ac:dyDescent="0.2">
      <c r="B78" s="11"/>
      <c r="AD78" s="16"/>
    </row>
    <row r="79" spans="2:30" s="3" customFormat="1" ht="15.75" x14ac:dyDescent="0.25">
      <c r="B79" s="12"/>
      <c r="AD79" s="16"/>
    </row>
    <row r="80" spans="2:30" s="4" customFormat="1" x14ac:dyDescent="0.2">
      <c r="B80" s="7"/>
      <c r="AD80" s="16"/>
    </row>
    <row r="81" spans="2:30" s="4" customFormat="1" ht="15.75" x14ac:dyDescent="0.25">
      <c r="B81" s="9"/>
      <c r="AD81" s="16"/>
    </row>
    <row r="82" spans="2:30" s="4" customFormat="1" x14ac:dyDescent="0.2">
      <c r="B82" s="7"/>
      <c r="AD82" s="16"/>
    </row>
    <row r="83" spans="2:30" s="4" customFormat="1" x14ac:dyDescent="0.2">
      <c r="B83" s="7"/>
      <c r="AD83" s="16"/>
    </row>
    <row r="84" spans="2:30" s="4" customFormat="1" x14ac:dyDescent="0.2">
      <c r="B84" s="7"/>
      <c r="AD84" s="16"/>
    </row>
    <row r="85" spans="2:30" s="4" customFormat="1" x14ac:dyDescent="0.2">
      <c r="B85" s="7"/>
      <c r="AD85" s="16"/>
    </row>
    <row r="86" spans="2:30" s="4" customFormat="1" x14ac:dyDescent="0.2">
      <c r="B86" s="7"/>
      <c r="AD86" s="16"/>
    </row>
    <row r="87" spans="2:30" s="4" customFormat="1" x14ac:dyDescent="0.2">
      <c r="B87" s="7"/>
      <c r="AD87" s="16"/>
    </row>
    <row r="88" spans="2:30" s="4" customFormat="1" x14ac:dyDescent="0.2">
      <c r="B88" s="7"/>
      <c r="AD88" s="16"/>
    </row>
    <row r="89" spans="2:30" s="4" customFormat="1" x14ac:dyDescent="0.2">
      <c r="B89" s="7"/>
      <c r="AD89" s="16"/>
    </row>
    <row r="90" spans="2:30" s="4" customFormat="1" x14ac:dyDescent="0.2">
      <c r="B90" s="7"/>
      <c r="AD90" s="16"/>
    </row>
    <row r="91" spans="2:30" s="4" customFormat="1" x14ac:dyDescent="0.2">
      <c r="B91" s="7"/>
      <c r="AD91" s="16"/>
    </row>
    <row r="92" spans="2:30" s="4" customFormat="1" x14ac:dyDescent="0.2">
      <c r="B92" s="7"/>
      <c r="AD92" s="16"/>
    </row>
    <row r="93" spans="2:30" s="4" customFormat="1" x14ac:dyDescent="0.2">
      <c r="B93" s="7"/>
      <c r="AD93" s="16"/>
    </row>
    <row r="94" spans="2:30" s="4" customFormat="1" x14ac:dyDescent="0.2">
      <c r="B94" s="7"/>
      <c r="AD94" s="16"/>
    </row>
    <row r="95" spans="2:30" s="4" customFormat="1" x14ac:dyDescent="0.2">
      <c r="B95" s="7"/>
      <c r="AD95" s="16"/>
    </row>
    <row r="96" spans="2:30" s="4" customFormat="1" x14ac:dyDescent="0.2">
      <c r="B96" s="7"/>
      <c r="AD96" s="16"/>
    </row>
    <row r="97" spans="2:30" s="4" customFormat="1" x14ac:dyDescent="0.2">
      <c r="B97" s="7"/>
      <c r="AD97" s="16"/>
    </row>
    <row r="98" spans="2:30" s="4" customFormat="1" x14ac:dyDescent="0.2">
      <c r="B98" s="7"/>
      <c r="AD98" s="16"/>
    </row>
    <row r="99" spans="2:30" s="4" customFormat="1" x14ac:dyDescent="0.2">
      <c r="B99" s="7"/>
      <c r="AD99" s="16"/>
    </row>
    <row r="100" spans="2:30" s="4" customFormat="1" x14ac:dyDescent="0.2">
      <c r="B100" s="7"/>
      <c r="AD100" s="16"/>
    </row>
    <row r="101" spans="2:30" s="4" customFormat="1" x14ac:dyDescent="0.2">
      <c r="B101" s="7"/>
      <c r="AD101" s="16"/>
    </row>
    <row r="102" spans="2:30" s="4" customFormat="1" x14ac:dyDescent="0.2">
      <c r="B102" s="7"/>
      <c r="AD102" s="16"/>
    </row>
    <row r="103" spans="2:30" s="4" customFormat="1" x14ac:dyDescent="0.2">
      <c r="B103" s="7"/>
      <c r="AD103" s="16"/>
    </row>
    <row r="104" spans="2:30" s="4" customFormat="1" x14ac:dyDescent="0.2">
      <c r="B104" s="7"/>
      <c r="AD104" s="16"/>
    </row>
    <row r="105" spans="2:30" s="4" customFormat="1" x14ac:dyDescent="0.2">
      <c r="B105" s="7"/>
      <c r="AD105" s="16"/>
    </row>
    <row r="106" spans="2:30" s="4" customFormat="1" x14ac:dyDescent="0.2">
      <c r="B106" s="7"/>
      <c r="AD106" s="16"/>
    </row>
    <row r="107" spans="2:30" s="4" customFormat="1" x14ac:dyDescent="0.2">
      <c r="B107" s="7"/>
      <c r="AD107" s="16"/>
    </row>
    <row r="108" spans="2:30" s="4" customFormat="1" x14ac:dyDescent="0.2">
      <c r="B108" s="7"/>
      <c r="AD108" s="16"/>
    </row>
    <row r="109" spans="2:30" s="4" customFormat="1" x14ac:dyDescent="0.2">
      <c r="B109" s="7"/>
      <c r="AD109" s="16"/>
    </row>
    <row r="110" spans="2:30" s="4" customFormat="1" x14ac:dyDescent="0.2">
      <c r="B110" s="7"/>
      <c r="AD110" s="16"/>
    </row>
    <row r="111" spans="2:30" s="4" customFormat="1" x14ac:dyDescent="0.2">
      <c r="B111" s="7"/>
      <c r="AD111" s="16"/>
    </row>
    <row r="112" spans="2:30" s="4" customFormat="1" x14ac:dyDescent="0.2">
      <c r="B112" s="7"/>
      <c r="AD112" s="16"/>
    </row>
    <row r="113" spans="2:30" s="4" customFormat="1" ht="15.75" x14ac:dyDescent="0.25">
      <c r="B113" s="12"/>
      <c r="C113" s="3"/>
      <c r="D113" s="3"/>
      <c r="E113" s="3"/>
      <c r="F113" s="3"/>
      <c r="G113" s="3"/>
      <c r="H113" s="3"/>
      <c r="I113" s="3"/>
      <c r="J113" s="3"/>
      <c r="K113" s="3"/>
      <c r="L113" s="3"/>
      <c r="M113" s="3"/>
      <c r="AD113" s="16"/>
    </row>
    <row r="114" spans="2:30" x14ac:dyDescent="0.2">
      <c r="B114" s="5"/>
    </row>
    <row r="115" spans="2:30" x14ac:dyDescent="0.2">
      <c r="B115" s="5"/>
    </row>
    <row r="116" spans="2:30" x14ac:dyDescent="0.2">
      <c r="B116" s="5"/>
    </row>
    <row r="117" spans="2:30" x14ac:dyDescent="0.2">
      <c r="B117" s="5"/>
    </row>
    <row r="118" spans="2:30" x14ac:dyDescent="0.2">
      <c r="B118" s="5"/>
    </row>
    <row r="119" spans="2:30" x14ac:dyDescent="0.2">
      <c r="B119" s="5"/>
    </row>
    <row r="120" spans="2:30" x14ac:dyDescent="0.2">
      <c r="B120" s="5"/>
    </row>
    <row r="121" spans="2:30" x14ac:dyDescent="0.2">
      <c r="B121" s="5"/>
    </row>
    <row r="122" spans="2:30" x14ac:dyDescent="0.2">
      <c r="B122" s="5"/>
    </row>
    <row r="123" spans="2:30" x14ac:dyDescent="0.2">
      <c r="B123" s="5"/>
    </row>
    <row r="124" spans="2:30" x14ac:dyDescent="0.2">
      <c r="B124" s="5"/>
    </row>
    <row r="125" spans="2:30" x14ac:dyDescent="0.2">
      <c r="B125" s="5"/>
    </row>
    <row r="126" spans="2:30" x14ac:dyDescent="0.2">
      <c r="B126" s="5"/>
    </row>
    <row r="127" spans="2:30" x14ac:dyDescent="0.2">
      <c r="B127" s="5"/>
    </row>
    <row r="128" spans="2:30"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08325-EA67-4684-AB87-FDB15584BA11}">
  <dimension ref="A1:AJ190"/>
  <sheetViews>
    <sheetView workbookViewId="0">
      <pane xSplit="1" ySplit="1" topLeftCell="B2" activePane="bottomRight" state="frozen"/>
      <selection pane="topRight" activeCell="B1" sqref="B1"/>
      <selection pane="bottomLeft" activeCell="A2" sqref="A2"/>
      <selection pane="bottomRight" activeCell="AG41" sqref="AG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10</v>
      </c>
      <c r="B1" s="14" t="s">
        <v>83</v>
      </c>
      <c r="C1" s="14" t="s">
        <v>84</v>
      </c>
      <c r="D1" s="14" t="s">
        <v>85</v>
      </c>
      <c r="E1" s="14" t="s">
        <v>86</v>
      </c>
      <c r="F1" s="14" t="s">
        <v>87</v>
      </c>
      <c r="G1" s="14" t="s">
        <v>88</v>
      </c>
      <c r="H1" s="14" t="s">
        <v>89</v>
      </c>
      <c r="I1" s="14" t="s">
        <v>90</v>
      </c>
      <c r="J1" s="14" t="s">
        <v>91</v>
      </c>
      <c r="K1" s="14" t="s">
        <v>92</v>
      </c>
      <c r="L1" s="14" t="s">
        <v>93</v>
      </c>
      <c r="M1" s="14" t="s">
        <v>94</v>
      </c>
      <c r="N1" s="14" t="s">
        <v>95</v>
      </c>
      <c r="O1" s="14" t="s">
        <v>96</v>
      </c>
      <c r="P1" s="14" t="s">
        <v>97</v>
      </c>
      <c r="Q1" s="14" t="s">
        <v>98</v>
      </c>
      <c r="R1" s="14" t="s">
        <v>99</v>
      </c>
      <c r="S1" s="14" t="s">
        <v>100</v>
      </c>
      <c r="T1" s="14" t="s">
        <v>101</v>
      </c>
      <c r="U1" s="14" t="s">
        <v>102</v>
      </c>
      <c r="V1" s="14" t="s">
        <v>103</v>
      </c>
      <c r="W1" s="14" t="s">
        <v>104</v>
      </c>
      <c r="X1" s="14" t="s">
        <v>105</v>
      </c>
      <c r="Y1" s="14" t="s">
        <v>106</v>
      </c>
      <c r="Z1" s="14" t="s">
        <v>107</v>
      </c>
      <c r="AA1" s="14" t="s">
        <v>108</v>
      </c>
      <c r="AB1" s="14" t="s">
        <v>109</v>
      </c>
      <c r="AC1" s="14" t="s">
        <v>110</v>
      </c>
      <c r="AD1" s="14" t="s">
        <v>111</v>
      </c>
      <c r="AE1" s="14" t="s">
        <v>112</v>
      </c>
      <c r="AF1" s="15" t="s">
        <v>113</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5">
        <f t="shared" si="0"/>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8851B-0F47-4EE3-A117-657BE1034BCC}">
  <dimension ref="A1:AI190"/>
  <sheetViews>
    <sheetView workbookViewId="0">
      <pane xSplit="1" ySplit="1" topLeftCell="T26" activePane="bottomRight" state="frozen"/>
      <selection pane="topRight" activeCell="B1" sqref="B1"/>
      <selection pane="bottomLeft" activeCell="A2" sqref="A2"/>
      <selection pane="bottomRight" activeCell="AF41" sqref="AF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1" width="7.75" style="2" customWidth="1"/>
    <col min="32" max="32" width="18.625" style="15" bestFit="1" customWidth="1"/>
    <col min="33" max="16384" width="10.75" style="2"/>
  </cols>
  <sheetData>
    <row r="1" spans="1:35" s="15" customFormat="1" ht="15.75" x14ac:dyDescent="0.25">
      <c r="A1" s="28" t="s">
        <v>11</v>
      </c>
      <c r="B1" s="14" t="s">
        <v>114</v>
      </c>
      <c r="C1" s="14" t="s">
        <v>115</v>
      </c>
      <c r="D1" s="14" t="s">
        <v>116</v>
      </c>
      <c r="E1" s="14" t="s">
        <v>117</v>
      </c>
      <c r="F1" s="14" t="s">
        <v>118</v>
      </c>
      <c r="G1" s="14" t="s">
        <v>119</v>
      </c>
      <c r="H1" s="14" t="s">
        <v>120</v>
      </c>
      <c r="I1" s="14" t="s">
        <v>121</v>
      </c>
      <c r="J1" s="14" t="s">
        <v>122</v>
      </c>
      <c r="K1" s="14" t="s">
        <v>123</v>
      </c>
      <c r="L1" s="14" t="s">
        <v>124</v>
      </c>
      <c r="M1" s="14" t="s">
        <v>125</v>
      </c>
      <c r="N1" s="14" t="s">
        <v>126</v>
      </c>
      <c r="O1" s="14" t="s">
        <v>127</v>
      </c>
      <c r="P1" s="14" t="s">
        <v>128</v>
      </c>
      <c r="Q1" s="14" t="s">
        <v>129</v>
      </c>
      <c r="R1" s="14" t="s">
        <v>130</v>
      </c>
      <c r="S1" s="14" t="s">
        <v>131</v>
      </c>
      <c r="T1" s="14" t="s">
        <v>132</v>
      </c>
      <c r="U1" s="14" t="s">
        <v>133</v>
      </c>
      <c r="V1" s="14" t="s">
        <v>134</v>
      </c>
      <c r="W1" s="14" t="s">
        <v>135</v>
      </c>
      <c r="X1" s="14" t="s">
        <v>136</v>
      </c>
      <c r="Y1" s="14" t="s">
        <v>137</v>
      </c>
      <c r="Z1" s="14" t="s">
        <v>138</v>
      </c>
      <c r="AA1" s="14" t="s">
        <v>139</v>
      </c>
      <c r="AB1" s="14" t="s">
        <v>140</v>
      </c>
      <c r="AC1" s="14" t="s">
        <v>141</v>
      </c>
      <c r="AD1" s="14" t="s">
        <v>142</v>
      </c>
      <c r="AE1" s="15" t="s">
        <v>54</v>
      </c>
      <c r="AF1" s="13" t="s">
        <v>52</v>
      </c>
      <c r="AG1" s="14"/>
      <c r="AH1" s="14"/>
      <c r="AI1" s="14"/>
    </row>
    <row r="2" spans="1:35"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24" t="s">
        <v>0</v>
      </c>
    </row>
    <row r="3" spans="1:35"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5"/>
    </row>
    <row r="4" spans="1:35"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5"/>
    </row>
    <row r="5" spans="1:35"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5"/>
    </row>
    <row r="6" spans="1:35"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9">
        <f>SUM(B2:AE6)</f>
        <v>0</v>
      </c>
    </row>
    <row r="7" spans="1:35"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24" t="s">
        <v>1</v>
      </c>
    </row>
    <row r="8" spans="1:35"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5"/>
    </row>
    <row r="9" spans="1:35"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5"/>
    </row>
    <row r="10" spans="1:35"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9">
        <f>SUM(B7:AE10)</f>
        <v>0</v>
      </c>
    </row>
    <row r="11" spans="1:35"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24" t="s">
        <v>3</v>
      </c>
    </row>
    <row r="12" spans="1:35"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row>
    <row r="13" spans="1:35"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row>
    <row r="14" spans="1:35"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9">
        <f>SUM(B11:AE14)</f>
        <v>0</v>
      </c>
    </row>
    <row r="15" spans="1:35"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24" t="s">
        <v>2</v>
      </c>
    </row>
    <row r="16" spans="1:35"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row>
    <row r="17" spans="1:32"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row>
    <row r="18" spans="1:32"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row>
    <row r="19" spans="1:32"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9">
        <f>SUM(B15:AE19)</f>
        <v>0</v>
      </c>
    </row>
    <row r="20" spans="1:32"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24" t="s">
        <v>4</v>
      </c>
    </row>
    <row r="21" spans="1:32"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row>
    <row r="22" spans="1:32"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row>
    <row r="23" spans="1:32"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row>
    <row r="24" spans="1:32"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9">
        <f>SUM(B20:AE24)</f>
        <v>0</v>
      </c>
    </row>
    <row r="25" spans="1:32"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24" t="s">
        <v>20</v>
      </c>
    </row>
    <row r="26" spans="1:32"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row>
    <row r="27" spans="1:32"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row>
    <row r="28" spans="1:32"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row>
    <row r="29" spans="1:32"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9">
        <f>SUM(B25:AE29)</f>
        <v>0</v>
      </c>
    </row>
    <row r="30" spans="1:32"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24" t="s">
        <v>5</v>
      </c>
    </row>
    <row r="31" spans="1:32"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row>
    <row r="32" spans="1:32"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row>
    <row r="33" spans="1:32"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row>
    <row r="34" spans="1:32"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9">
        <f>SUM(B30:AE34)</f>
        <v>0</v>
      </c>
    </row>
    <row r="35" spans="1:32"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26" t="s">
        <v>12</v>
      </c>
    </row>
    <row r="36" spans="1:32"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20"/>
    </row>
    <row r="37" spans="1:32"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9">
        <f>SUM(B35:AE37)</f>
        <v>0</v>
      </c>
    </row>
    <row r="38" spans="1:32"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26" t="s">
        <v>12</v>
      </c>
    </row>
    <row r="39" spans="1:32"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row>
    <row r="40" spans="1:32"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9">
        <f>SUM(B38:AE40)</f>
        <v>0</v>
      </c>
    </row>
    <row r="41" spans="1:32"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24" t="s">
        <v>388</v>
      </c>
    </row>
    <row r="42" spans="1:32"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row>
    <row r="43" spans="1:32"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row>
    <row r="44" spans="1:32"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9">
        <f>SUM(B41:AE44)</f>
        <v>0</v>
      </c>
    </row>
    <row r="45" spans="1:32" s="15" customFormat="1" ht="15.75" x14ac:dyDescent="0.25">
      <c r="A45" s="24" t="s">
        <v>19</v>
      </c>
      <c r="B45" s="25">
        <f>SUM(B2:B44)</f>
        <v>0</v>
      </c>
      <c r="C45" s="25">
        <f t="shared" ref="C45:AE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7">
        <f>SUM(B45:AE45)</f>
        <v>0</v>
      </c>
    </row>
    <row r="46" spans="1:32" x14ac:dyDescent="0.2">
      <c r="B46" s="5"/>
    </row>
    <row r="47" spans="1:32" s="4" customFormat="1" ht="15.75" x14ac:dyDescent="0.25">
      <c r="B47" s="9"/>
      <c r="AF47" s="16"/>
    </row>
    <row r="48" spans="1:32" s="4" customFormat="1" x14ac:dyDescent="0.2">
      <c r="B48" s="7"/>
      <c r="AF48" s="16"/>
    </row>
    <row r="49" spans="2:32" s="4" customFormat="1" x14ac:dyDescent="0.2">
      <c r="B49" s="7"/>
      <c r="AF49" s="16"/>
    </row>
    <row r="50" spans="2:32" s="4" customFormat="1" x14ac:dyDescent="0.2">
      <c r="B50" s="7"/>
      <c r="C50" s="10"/>
      <c r="AF50" s="16"/>
    </row>
    <row r="51" spans="2:32" s="4" customFormat="1" x14ac:dyDescent="0.2">
      <c r="B51" s="7"/>
      <c r="AF51" s="16"/>
    </row>
    <row r="52" spans="2:32" s="4" customFormat="1" x14ac:dyDescent="0.2">
      <c r="B52" s="7"/>
      <c r="L52" s="10"/>
      <c r="AF52" s="16"/>
    </row>
    <row r="53" spans="2:32" s="4" customFormat="1" x14ac:dyDescent="0.2">
      <c r="B53" s="7"/>
      <c r="AF53" s="16"/>
    </row>
    <row r="54" spans="2:32" s="4" customFormat="1" x14ac:dyDescent="0.2">
      <c r="B54" s="7"/>
      <c r="AF54" s="16"/>
    </row>
    <row r="55" spans="2:32" s="4" customFormat="1" x14ac:dyDescent="0.2">
      <c r="B55" s="7"/>
      <c r="AF55" s="16"/>
    </row>
    <row r="56" spans="2:32" s="4" customFormat="1" x14ac:dyDescent="0.2">
      <c r="B56" s="7"/>
      <c r="C56" s="10"/>
      <c r="AF56" s="16"/>
    </row>
    <row r="57" spans="2:32" s="4" customFormat="1" ht="15.75" x14ac:dyDescent="0.25">
      <c r="B57" s="7"/>
      <c r="C57" s="10"/>
      <c r="P57" s="3"/>
      <c r="AF57" s="16"/>
    </row>
    <row r="58" spans="2:32" s="4" customFormat="1" ht="15.75" x14ac:dyDescent="0.25">
      <c r="B58" s="7"/>
      <c r="H58" s="10"/>
      <c r="P58" s="3"/>
      <c r="AF58" s="16"/>
    </row>
    <row r="59" spans="2:32" s="4" customFormat="1" ht="15.75" x14ac:dyDescent="0.25">
      <c r="B59" s="7"/>
      <c r="P59" s="3"/>
      <c r="AF59" s="16"/>
    </row>
    <row r="60" spans="2:32" s="4" customFormat="1" ht="15.75" x14ac:dyDescent="0.25">
      <c r="B60" s="7"/>
      <c r="P60" s="3"/>
      <c r="AF60" s="16"/>
    </row>
    <row r="61" spans="2:32" s="4" customFormat="1" ht="15.75" x14ac:dyDescent="0.25">
      <c r="B61" s="7"/>
      <c r="P61" s="3"/>
      <c r="AF61" s="16"/>
    </row>
    <row r="62" spans="2:32" s="4" customFormat="1" ht="15.75" x14ac:dyDescent="0.25">
      <c r="B62" s="7"/>
      <c r="P62" s="3"/>
      <c r="AF62" s="16"/>
    </row>
    <row r="63" spans="2:32" s="4" customFormat="1" ht="15.75" x14ac:dyDescent="0.25">
      <c r="B63" s="7"/>
      <c r="C63" s="10"/>
      <c r="L63" s="10"/>
      <c r="P63" s="3"/>
      <c r="AF63" s="16"/>
    </row>
    <row r="64" spans="2:32" s="4" customFormat="1" ht="15.75" x14ac:dyDescent="0.25">
      <c r="B64" s="7"/>
      <c r="P64" s="3"/>
      <c r="AF64" s="16"/>
    </row>
    <row r="65" spans="2:32" s="4" customFormat="1" ht="15.75" x14ac:dyDescent="0.25">
      <c r="B65" s="7"/>
      <c r="P65" s="3"/>
      <c r="AF65" s="16"/>
    </row>
    <row r="66" spans="2:32" s="4" customFormat="1" ht="15.75" x14ac:dyDescent="0.25">
      <c r="B66" s="7"/>
      <c r="P66" s="3"/>
      <c r="AF66" s="16"/>
    </row>
    <row r="67" spans="2:32" s="4" customFormat="1" ht="15.75" x14ac:dyDescent="0.25">
      <c r="B67" s="7"/>
      <c r="P67" s="3"/>
      <c r="AF67" s="16"/>
    </row>
    <row r="68" spans="2:32" s="4" customFormat="1" x14ac:dyDescent="0.2">
      <c r="B68" s="7"/>
      <c r="AF68" s="16"/>
    </row>
    <row r="69" spans="2:32" s="4" customFormat="1" x14ac:dyDescent="0.2">
      <c r="B69" s="7"/>
      <c r="AF69" s="16"/>
    </row>
    <row r="70" spans="2:32" s="4" customFormat="1" x14ac:dyDescent="0.2">
      <c r="B70" s="7"/>
      <c r="AF70" s="16"/>
    </row>
    <row r="71" spans="2:32" s="4" customFormat="1" x14ac:dyDescent="0.2">
      <c r="B71" s="7"/>
      <c r="AF71" s="16"/>
    </row>
    <row r="72" spans="2:32" s="4" customFormat="1" x14ac:dyDescent="0.2">
      <c r="B72" s="7"/>
      <c r="AF72" s="16"/>
    </row>
    <row r="73" spans="2:32" s="4" customFormat="1" x14ac:dyDescent="0.2">
      <c r="B73" s="7"/>
      <c r="AF73" s="16"/>
    </row>
    <row r="74" spans="2:32" s="4" customFormat="1" x14ac:dyDescent="0.2">
      <c r="B74" s="7"/>
      <c r="AF74" s="16"/>
    </row>
    <row r="75" spans="2:32" s="4" customFormat="1" x14ac:dyDescent="0.2">
      <c r="B75" s="7"/>
      <c r="AF75" s="16"/>
    </row>
    <row r="76" spans="2:32" s="4" customFormat="1" x14ac:dyDescent="0.2">
      <c r="B76" s="7"/>
      <c r="AF76" s="16"/>
    </row>
    <row r="77" spans="2:32" s="4" customFormat="1" x14ac:dyDescent="0.2">
      <c r="B77" s="11"/>
      <c r="AF77" s="16"/>
    </row>
    <row r="78" spans="2:32" s="4" customFormat="1" x14ac:dyDescent="0.2">
      <c r="B78" s="11"/>
      <c r="AF78" s="16"/>
    </row>
    <row r="79" spans="2:32" s="3" customFormat="1" ht="15.75" x14ac:dyDescent="0.25">
      <c r="B79" s="12"/>
      <c r="AF79" s="16"/>
    </row>
    <row r="80" spans="2:32" s="4" customFormat="1" x14ac:dyDescent="0.2">
      <c r="B80" s="7"/>
      <c r="AF80" s="16"/>
    </row>
    <row r="81" spans="2:32" s="4" customFormat="1" ht="15.75" x14ac:dyDescent="0.25">
      <c r="B81" s="9"/>
      <c r="AF81" s="16"/>
    </row>
    <row r="82" spans="2:32" s="4" customFormat="1" x14ac:dyDescent="0.2">
      <c r="B82" s="7"/>
      <c r="AF82" s="16"/>
    </row>
    <row r="83" spans="2:32" s="4" customFormat="1" x14ac:dyDescent="0.2">
      <c r="B83" s="7"/>
      <c r="AF83" s="16"/>
    </row>
    <row r="84" spans="2:32" s="4" customFormat="1" x14ac:dyDescent="0.2">
      <c r="B84" s="7"/>
      <c r="AF84" s="16"/>
    </row>
    <row r="85" spans="2:32" s="4" customFormat="1" x14ac:dyDescent="0.2">
      <c r="B85" s="7"/>
      <c r="AF85" s="16"/>
    </row>
    <row r="86" spans="2:32" s="4" customFormat="1" x14ac:dyDescent="0.2">
      <c r="B86" s="7"/>
      <c r="AF86" s="16"/>
    </row>
    <row r="87" spans="2:32" s="4" customFormat="1" x14ac:dyDescent="0.2">
      <c r="B87" s="7"/>
      <c r="AF87" s="16"/>
    </row>
    <row r="88" spans="2:32" s="4" customFormat="1" x14ac:dyDescent="0.2">
      <c r="B88" s="7"/>
      <c r="AF88" s="16"/>
    </row>
    <row r="89" spans="2:32" s="4" customFormat="1" x14ac:dyDescent="0.2">
      <c r="B89" s="7"/>
      <c r="AF89" s="16"/>
    </row>
    <row r="90" spans="2:32" s="4" customFormat="1" x14ac:dyDescent="0.2">
      <c r="B90" s="7"/>
      <c r="AF90" s="16"/>
    </row>
    <row r="91" spans="2:32" s="4" customFormat="1" x14ac:dyDescent="0.2">
      <c r="B91" s="7"/>
      <c r="AF91" s="16"/>
    </row>
    <row r="92" spans="2:32" s="4" customFormat="1" x14ac:dyDescent="0.2">
      <c r="B92" s="7"/>
      <c r="AF92" s="16"/>
    </row>
    <row r="93" spans="2:32" s="4" customFormat="1" x14ac:dyDescent="0.2">
      <c r="B93" s="7"/>
      <c r="AF93" s="16"/>
    </row>
    <row r="94" spans="2:32" s="4" customFormat="1" x14ac:dyDescent="0.2">
      <c r="B94" s="7"/>
      <c r="AF94" s="16"/>
    </row>
    <row r="95" spans="2:32" s="4" customFormat="1" x14ac:dyDescent="0.2">
      <c r="B95" s="7"/>
      <c r="AF95" s="16"/>
    </row>
    <row r="96" spans="2:32" s="4" customFormat="1" x14ac:dyDescent="0.2">
      <c r="B96" s="7"/>
      <c r="AF96" s="16"/>
    </row>
    <row r="97" spans="2:32" s="4" customFormat="1" x14ac:dyDescent="0.2">
      <c r="B97" s="7"/>
      <c r="AF97" s="16"/>
    </row>
    <row r="98" spans="2:32" s="4" customFormat="1" x14ac:dyDescent="0.2">
      <c r="B98" s="7"/>
      <c r="AF98" s="16"/>
    </row>
    <row r="99" spans="2:32" s="4" customFormat="1" x14ac:dyDescent="0.2">
      <c r="B99" s="7"/>
      <c r="AF99" s="16"/>
    </row>
    <row r="100" spans="2:32" s="4" customFormat="1" x14ac:dyDescent="0.2">
      <c r="B100" s="7"/>
      <c r="AF100" s="16"/>
    </row>
    <row r="101" spans="2:32" s="4" customFormat="1" x14ac:dyDescent="0.2">
      <c r="B101" s="7"/>
      <c r="AF101" s="16"/>
    </row>
    <row r="102" spans="2:32" s="4" customFormat="1" x14ac:dyDescent="0.2">
      <c r="B102" s="7"/>
      <c r="AF102" s="16"/>
    </row>
    <row r="103" spans="2:32" s="4" customFormat="1" x14ac:dyDescent="0.2">
      <c r="B103" s="7"/>
      <c r="AF103" s="16"/>
    </row>
    <row r="104" spans="2:32" s="4" customFormat="1" x14ac:dyDescent="0.2">
      <c r="B104" s="7"/>
      <c r="AF104" s="16"/>
    </row>
    <row r="105" spans="2:32" s="4" customFormat="1" x14ac:dyDescent="0.2">
      <c r="B105" s="7"/>
      <c r="AF105" s="16"/>
    </row>
    <row r="106" spans="2:32" s="4" customFormat="1" x14ac:dyDescent="0.2">
      <c r="B106" s="7"/>
      <c r="AF106" s="16"/>
    </row>
    <row r="107" spans="2:32" s="4" customFormat="1" x14ac:dyDescent="0.2">
      <c r="B107" s="7"/>
      <c r="AF107" s="16"/>
    </row>
    <row r="108" spans="2:32" s="4" customFormat="1" x14ac:dyDescent="0.2">
      <c r="B108" s="7"/>
      <c r="AF108" s="16"/>
    </row>
    <row r="109" spans="2:32" s="4" customFormat="1" x14ac:dyDescent="0.2">
      <c r="B109" s="7"/>
      <c r="AF109" s="16"/>
    </row>
    <row r="110" spans="2:32" s="4" customFormat="1" x14ac:dyDescent="0.2">
      <c r="B110" s="7"/>
      <c r="AF110" s="16"/>
    </row>
    <row r="111" spans="2:32" s="4" customFormat="1" x14ac:dyDescent="0.2">
      <c r="B111" s="7"/>
      <c r="AF111" s="16"/>
    </row>
    <row r="112" spans="2:32" s="4" customFormat="1" x14ac:dyDescent="0.2">
      <c r="B112" s="7"/>
      <c r="AF112" s="16"/>
    </row>
    <row r="113" spans="2:32" s="4" customFormat="1" ht="15.75" x14ac:dyDescent="0.25">
      <c r="B113" s="12"/>
      <c r="C113" s="3"/>
      <c r="D113" s="3"/>
      <c r="E113" s="3"/>
      <c r="F113" s="3"/>
      <c r="G113" s="3"/>
      <c r="H113" s="3"/>
      <c r="I113" s="3"/>
      <c r="J113" s="3"/>
      <c r="K113" s="3"/>
      <c r="L113" s="3"/>
      <c r="M113" s="3"/>
      <c r="AF113" s="16"/>
    </row>
    <row r="114" spans="2:32" x14ac:dyDescent="0.2">
      <c r="B114" s="5"/>
    </row>
    <row r="115" spans="2:32" x14ac:dyDescent="0.2">
      <c r="B115" s="5"/>
    </row>
    <row r="116" spans="2:32" x14ac:dyDescent="0.2">
      <c r="B116" s="5"/>
    </row>
    <row r="117" spans="2:32" x14ac:dyDescent="0.2">
      <c r="B117" s="5"/>
    </row>
    <row r="118" spans="2:32" x14ac:dyDescent="0.2">
      <c r="B118" s="5"/>
    </row>
    <row r="119" spans="2:32" x14ac:dyDescent="0.2">
      <c r="B119" s="5"/>
    </row>
    <row r="120" spans="2:32" x14ac:dyDescent="0.2">
      <c r="B120" s="5"/>
    </row>
    <row r="121" spans="2:32" x14ac:dyDescent="0.2">
      <c r="B121" s="5"/>
    </row>
    <row r="122" spans="2:32" x14ac:dyDescent="0.2">
      <c r="B122" s="5"/>
    </row>
    <row r="123" spans="2:32" x14ac:dyDescent="0.2">
      <c r="B123" s="5"/>
    </row>
    <row r="124" spans="2:32" x14ac:dyDescent="0.2">
      <c r="B124" s="5"/>
    </row>
    <row r="125" spans="2:32" x14ac:dyDescent="0.2">
      <c r="B125" s="5"/>
    </row>
    <row r="126" spans="2:32" x14ac:dyDescent="0.2">
      <c r="B126" s="5"/>
    </row>
    <row r="127" spans="2:32" x14ac:dyDescent="0.2">
      <c r="B127" s="5"/>
    </row>
    <row r="128" spans="2:32"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EC167-FFFE-4D72-932A-CB3B923165E3}">
  <dimension ref="A1:AJ190"/>
  <sheetViews>
    <sheetView workbookViewId="0">
      <pane xSplit="1" ySplit="1" topLeftCell="B2" activePane="bottomRight" state="frozen"/>
      <selection pane="topRight" activeCell="B1" sqref="B1"/>
      <selection pane="bottomLeft" activeCell="A2" sqref="A2"/>
      <selection pane="bottomRight" activeCell="AE26" sqref="AE26"/>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13</v>
      </c>
      <c r="B1" s="14" t="s">
        <v>144</v>
      </c>
      <c r="C1" s="14" t="s">
        <v>145</v>
      </c>
      <c r="D1" s="14" t="s">
        <v>146</v>
      </c>
      <c r="E1" s="14" t="s">
        <v>147</v>
      </c>
      <c r="F1" s="14" t="s">
        <v>148</v>
      </c>
      <c r="G1" s="14" t="s">
        <v>149</v>
      </c>
      <c r="H1" s="14" t="s">
        <v>143</v>
      </c>
      <c r="I1" s="14" t="s">
        <v>150</v>
      </c>
      <c r="J1" s="14" t="s">
        <v>151</v>
      </c>
      <c r="K1" s="14" t="s">
        <v>152</v>
      </c>
      <c r="L1" s="14" t="s">
        <v>153</v>
      </c>
      <c r="M1" s="14" t="s">
        <v>154</v>
      </c>
      <c r="N1" s="14" t="s">
        <v>155</v>
      </c>
      <c r="O1" s="14" t="s">
        <v>156</v>
      </c>
      <c r="P1" s="14" t="s">
        <v>157</v>
      </c>
      <c r="Q1" s="14" t="s">
        <v>158</v>
      </c>
      <c r="R1" s="14" t="s">
        <v>159</v>
      </c>
      <c r="S1" s="14" t="s">
        <v>160</v>
      </c>
      <c r="T1" s="14" t="s">
        <v>161</v>
      </c>
      <c r="U1" s="14" t="s">
        <v>162</v>
      </c>
      <c r="V1" s="14" t="s">
        <v>163</v>
      </c>
      <c r="W1" s="14" t="s">
        <v>164</v>
      </c>
      <c r="X1" s="14" t="s">
        <v>165</v>
      </c>
      <c r="Y1" s="14" t="s">
        <v>166</v>
      </c>
      <c r="Z1" s="14" t="s">
        <v>168</v>
      </c>
      <c r="AA1" s="14" t="s">
        <v>167</v>
      </c>
      <c r="AB1" s="14" t="s">
        <v>169</v>
      </c>
      <c r="AC1" s="14" t="s">
        <v>170</v>
      </c>
      <c r="AD1" s="14" t="s">
        <v>171</v>
      </c>
      <c r="AE1" s="14" t="s">
        <v>172</v>
      </c>
      <c r="AF1" s="15" t="s">
        <v>173</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5">
        <f t="shared" si="0"/>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8E516-0E9E-4231-9C42-6E5BBCF2331D}">
  <dimension ref="A1:AI190"/>
  <sheetViews>
    <sheetView workbookViewId="0">
      <pane xSplit="1" ySplit="1" topLeftCell="V24" activePane="bottomRight" state="frozen"/>
      <selection pane="topRight" activeCell="B1" sqref="B1"/>
      <selection pane="bottomLeft" activeCell="A2" sqref="A2"/>
      <selection pane="bottomRight" activeCell="A41" sqref="A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1" width="7.75" style="2" customWidth="1"/>
    <col min="32" max="32" width="18.625" style="15" bestFit="1" customWidth="1"/>
    <col min="33" max="16384" width="10.75" style="2"/>
  </cols>
  <sheetData>
    <row r="1" spans="1:35" s="15" customFormat="1" ht="15.75" x14ac:dyDescent="0.25">
      <c r="A1" s="28" t="s">
        <v>14</v>
      </c>
      <c r="B1" s="14" t="s">
        <v>176</v>
      </c>
      <c r="C1" s="14" t="s">
        <v>177</v>
      </c>
      <c r="D1" s="14" t="s">
        <v>178</v>
      </c>
      <c r="E1" s="14" t="s">
        <v>179</v>
      </c>
      <c r="F1" s="14" t="s">
        <v>180</v>
      </c>
      <c r="G1" s="14" t="s">
        <v>181</v>
      </c>
      <c r="H1" s="14" t="s">
        <v>182</v>
      </c>
      <c r="I1" s="14" t="s">
        <v>183</v>
      </c>
      <c r="J1" s="14" t="s">
        <v>184</v>
      </c>
      <c r="K1" s="14" t="s">
        <v>185</v>
      </c>
      <c r="L1" s="14" t="s">
        <v>186</v>
      </c>
      <c r="M1" s="14" t="s">
        <v>187</v>
      </c>
      <c r="N1" s="14" t="s">
        <v>188</v>
      </c>
      <c r="O1" s="14" t="s">
        <v>189</v>
      </c>
      <c r="P1" s="14" t="s">
        <v>190</v>
      </c>
      <c r="Q1" s="14" t="s">
        <v>193</v>
      </c>
      <c r="R1" s="14" t="s">
        <v>191</v>
      </c>
      <c r="S1" s="14" t="s">
        <v>192</v>
      </c>
      <c r="T1" s="14" t="s">
        <v>194</v>
      </c>
      <c r="U1" s="14" t="s">
        <v>195</v>
      </c>
      <c r="V1" s="14" t="s">
        <v>196</v>
      </c>
      <c r="W1" s="14" t="s">
        <v>197</v>
      </c>
      <c r="X1" s="14" t="s">
        <v>198</v>
      </c>
      <c r="Y1" s="14" t="s">
        <v>199</v>
      </c>
      <c r="Z1" s="14" t="s">
        <v>200</v>
      </c>
      <c r="AA1" s="14" t="s">
        <v>201</v>
      </c>
      <c r="AB1" s="14" t="s">
        <v>202</v>
      </c>
      <c r="AC1" s="14" t="s">
        <v>203</v>
      </c>
      <c r="AD1" s="14" t="s">
        <v>174</v>
      </c>
      <c r="AE1" s="15" t="s">
        <v>175</v>
      </c>
      <c r="AF1" s="13" t="s">
        <v>52</v>
      </c>
      <c r="AG1" s="14"/>
      <c r="AH1" s="14"/>
      <c r="AI1" s="14"/>
    </row>
    <row r="2" spans="1:35"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24" t="s">
        <v>0</v>
      </c>
    </row>
    <row r="3" spans="1:35"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5"/>
    </row>
    <row r="4" spans="1:35"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5"/>
    </row>
    <row r="5" spans="1:35"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5"/>
    </row>
    <row r="6" spans="1:35"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9">
        <f>SUM(B2:AE6)</f>
        <v>0</v>
      </c>
    </row>
    <row r="7" spans="1:35"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24" t="s">
        <v>1</v>
      </c>
    </row>
    <row r="8" spans="1:35"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5"/>
    </row>
    <row r="9" spans="1:35"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5"/>
    </row>
    <row r="10" spans="1:35"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9">
        <f>SUM(B7:AE10)</f>
        <v>0</v>
      </c>
    </row>
    <row r="11" spans="1:35"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24" t="s">
        <v>3</v>
      </c>
    </row>
    <row r="12" spans="1:35"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row>
    <row r="13" spans="1:35"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row>
    <row r="14" spans="1:35"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9">
        <f>SUM(B11:AE14)</f>
        <v>0</v>
      </c>
    </row>
    <row r="15" spans="1:35"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24" t="s">
        <v>2</v>
      </c>
    </row>
    <row r="16" spans="1:35"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row>
    <row r="17" spans="1:32"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row>
    <row r="18" spans="1:32"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row>
    <row r="19" spans="1:32"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9">
        <f>SUM(B15:AE19)</f>
        <v>0</v>
      </c>
    </row>
    <row r="20" spans="1:32"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24" t="s">
        <v>4</v>
      </c>
    </row>
    <row r="21" spans="1:32"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row>
    <row r="22" spans="1:32"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row>
    <row r="23" spans="1:32"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row>
    <row r="24" spans="1:32"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9">
        <f>SUM(B20:AE24)</f>
        <v>0</v>
      </c>
    </row>
    <row r="25" spans="1:32"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24" t="s">
        <v>20</v>
      </c>
    </row>
    <row r="26" spans="1:32"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row>
    <row r="27" spans="1:32"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row>
    <row r="28" spans="1:32"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row>
    <row r="29" spans="1:32"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9">
        <f>SUM(B25:AE29)</f>
        <v>0</v>
      </c>
    </row>
    <row r="30" spans="1:32"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24" t="s">
        <v>5</v>
      </c>
    </row>
    <row r="31" spans="1:32"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row>
    <row r="32" spans="1:32"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row>
    <row r="33" spans="1:32"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row>
    <row r="34" spans="1:32"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9">
        <f>SUM(B30:AE34)</f>
        <v>0</v>
      </c>
    </row>
    <row r="35" spans="1:32"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26" t="s">
        <v>12</v>
      </c>
    </row>
    <row r="36" spans="1:32"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20"/>
    </row>
    <row r="37" spans="1:32"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9">
        <f>SUM(B35:AE37)</f>
        <v>0</v>
      </c>
    </row>
    <row r="38" spans="1:32"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26" t="s">
        <v>12</v>
      </c>
    </row>
    <row r="39" spans="1:32"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row>
    <row r="40" spans="1:32"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9">
        <f>SUM(B38:AE40)</f>
        <v>0</v>
      </c>
    </row>
    <row r="41" spans="1:32"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24" t="s">
        <v>388</v>
      </c>
    </row>
    <row r="42" spans="1:32"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row>
    <row r="43" spans="1:32"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row>
    <row r="44" spans="1:32"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9">
        <f>SUM(B41:AE44)</f>
        <v>0</v>
      </c>
    </row>
    <row r="45" spans="1:32" s="15" customFormat="1" ht="15.75" x14ac:dyDescent="0.25">
      <c r="A45" s="24" t="s">
        <v>19</v>
      </c>
      <c r="B45" s="25">
        <f>SUM(B2:B44)</f>
        <v>0</v>
      </c>
      <c r="C45" s="25">
        <f t="shared" ref="C45:AE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7">
        <f>SUM(B45:AE45)</f>
        <v>0</v>
      </c>
    </row>
    <row r="46" spans="1:32" x14ac:dyDescent="0.2">
      <c r="B46" s="5"/>
    </row>
    <row r="47" spans="1:32" s="4" customFormat="1" ht="15.75" x14ac:dyDescent="0.25">
      <c r="B47" s="9"/>
      <c r="AF47" s="16"/>
    </row>
    <row r="48" spans="1:32" s="4" customFormat="1" x14ac:dyDescent="0.2">
      <c r="B48" s="7"/>
      <c r="AF48" s="16"/>
    </row>
    <row r="49" spans="2:32" s="4" customFormat="1" x14ac:dyDescent="0.2">
      <c r="B49" s="7"/>
      <c r="AF49" s="16"/>
    </row>
    <row r="50" spans="2:32" s="4" customFormat="1" x14ac:dyDescent="0.2">
      <c r="B50" s="7"/>
      <c r="C50" s="10"/>
      <c r="AF50" s="16"/>
    </row>
    <row r="51" spans="2:32" s="4" customFormat="1" x14ac:dyDescent="0.2">
      <c r="B51" s="7"/>
      <c r="AF51" s="16"/>
    </row>
    <row r="52" spans="2:32" s="4" customFormat="1" x14ac:dyDescent="0.2">
      <c r="B52" s="7"/>
      <c r="L52" s="10"/>
      <c r="AF52" s="16"/>
    </row>
    <row r="53" spans="2:32" s="4" customFormat="1" x14ac:dyDescent="0.2">
      <c r="B53" s="7"/>
      <c r="AF53" s="16"/>
    </row>
    <row r="54" spans="2:32" s="4" customFormat="1" x14ac:dyDescent="0.2">
      <c r="B54" s="7"/>
      <c r="AF54" s="16"/>
    </row>
    <row r="55" spans="2:32" s="4" customFormat="1" x14ac:dyDescent="0.2">
      <c r="B55" s="7"/>
      <c r="AF55" s="16"/>
    </row>
    <row r="56" spans="2:32" s="4" customFormat="1" x14ac:dyDescent="0.2">
      <c r="B56" s="7"/>
      <c r="C56" s="10"/>
      <c r="AF56" s="16"/>
    </row>
    <row r="57" spans="2:32" s="4" customFormat="1" ht="15.75" x14ac:dyDescent="0.25">
      <c r="B57" s="7"/>
      <c r="C57" s="10"/>
      <c r="P57" s="3"/>
      <c r="AF57" s="16"/>
    </row>
    <row r="58" spans="2:32" s="4" customFormat="1" ht="15.75" x14ac:dyDescent="0.25">
      <c r="B58" s="7"/>
      <c r="H58" s="10"/>
      <c r="P58" s="3"/>
      <c r="AF58" s="16"/>
    </row>
    <row r="59" spans="2:32" s="4" customFormat="1" ht="15.75" x14ac:dyDescent="0.25">
      <c r="B59" s="7"/>
      <c r="P59" s="3"/>
      <c r="AF59" s="16"/>
    </row>
    <row r="60" spans="2:32" s="4" customFormat="1" ht="15.75" x14ac:dyDescent="0.25">
      <c r="B60" s="7"/>
      <c r="P60" s="3"/>
      <c r="AF60" s="16"/>
    </row>
    <row r="61" spans="2:32" s="4" customFormat="1" ht="15.75" x14ac:dyDescent="0.25">
      <c r="B61" s="7"/>
      <c r="P61" s="3"/>
      <c r="AF61" s="16"/>
    </row>
    <row r="62" spans="2:32" s="4" customFormat="1" ht="15.75" x14ac:dyDescent="0.25">
      <c r="B62" s="7"/>
      <c r="P62" s="3"/>
      <c r="AF62" s="16"/>
    </row>
    <row r="63" spans="2:32" s="4" customFormat="1" ht="15.75" x14ac:dyDescent="0.25">
      <c r="B63" s="7"/>
      <c r="C63" s="10"/>
      <c r="L63" s="10"/>
      <c r="P63" s="3"/>
      <c r="AF63" s="16"/>
    </row>
    <row r="64" spans="2:32" s="4" customFormat="1" ht="15.75" x14ac:dyDescent="0.25">
      <c r="B64" s="7"/>
      <c r="P64" s="3"/>
      <c r="AF64" s="16"/>
    </row>
    <row r="65" spans="2:32" s="4" customFormat="1" ht="15.75" x14ac:dyDescent="0.25">
      <c r="B65" s="7"/>
      <c r="P65" s="3"/>
      <c r="AF65" s="16"/>
    </row>
    <row r="66" spans="2:32" s="4" customFormat="1" ht="15.75" x14ac:dyDescent="0.25">
      <c r="B66" s="7"/>
      <c r="P66" s="3"/>
      <c r="AF66" s="16"/>
    </row>
    <row r="67" spans="2:32" s="4" customFormat="1" ht="15.75" x14ac:dyDescent="0.25">
      <c r="B67" s="7"/>
      <c r="P67" s="3"/>
      <c r="AF67" s="16"/>
    </row>
    <row r="68" spans="2:32" s="4" customFormat="1" x14ac:dyDescent="0.2">
      <c r="B68" s="7"/>
      <c r="AF68" s="16"/>
    </row>
    <row r="69" spans="2:32" s="4" customFormat="1" x14ac:dyDescent="0.2">
      <c r="B69" s="7"/>
      <c r="AF69" s="16"/>
    </row>
    <row r="70" spans="2:32" s="4" customFormat="1" x14ac:dyDescent="0.2">
      <c r="B70" s="7"/>
      <c r="AF70" s="16"/>
    </row>
    <row r="71" spans="2:32" s="4" customFormat="1" x14ac:dyDescent="0.2">
      <c r="B71" s="7"/>
      <c r="AF71" s="16"/>
    </row>
    <row r="72" spans="2:32" s="4" customFormat="1" x14ac:dyDescent="0.2">
      <c r="B72" s="7"/>
      <c r="AF72" s="16"/>
    </row>
    <row r="73" spans="2:32" s="4" customFormat="1" x14ac:dyDescent="0.2">
      <c r="B73" s="7"/>
      <c r="AF73" s="16"/>
    </row>
    <row r="74" spans="2:32" s="4" customFormat="1" x14ac:dyDescent="0.2">
      <c r="B74" s="7"/>
      <c r="AF74" s="16"/>
    </row>
    <row r="75" spans="2:32" s="4" customFormat="1" x14ac:dyDescent="0.2">
      <c r="B75" s="7"/>
      <c r="AF75" s="16"/>
    </row>
    <row r="76" spans="2:32" s="4" customFormat="1" x14ac:dyDescent="0.2">
      <c r="B76" s="7"/>
      <c r="AF76" s="16"/>
    </row>
    <row r="77" spans="2:32" s="4" customFormat="1" x14ac:dyDescent="0.2">
      <c r="B77" s="11"/>
      <c r="AF77" s="16"/>
    </row>
    <row r="78" spans="2:32" s="4" customFormat="1" x14ac:dyDescent="0.2">
      <c r="B78" s="11"/>
      <c r="AF78" s="16"/>
    </row>
    <row r="79" spans="2:32" s="3" customFormat="1" ht="15.75" x14ac:dyDescent="0.25">
      <c r="B79" s="12"/>
      <c r="AF79" s="16"/>
    </row>
    <row r="80" spans="2:32" s="4" customFormat="1" x14ac:dyDescent="0.2">
      <c r="B80" s="7"/>
      <c r="AF80" s="16"/>
    </row>
    <row r="81" spans="2:32" s="4" customFormat="1" ht="15.75" x14ac:dyDescent="0.25">
      <c r="B81" s="9"/>
      <c r="AF81" s="16"/>
    </row>
    <row r="82" spans="2:32" s="4" customFormat="1" x14ac:dyDescent="0.2">
      <c r="B82" s="7"/>
      <c r="AF82" s="16"/>
    </row>
    <row r="83" spans="2:32" s="4" customFormat="1" x14ac:dyDescent="0.2">
      <c r="B83" s="7"/>
      <c r="AF83" s="16"/>
    </row>
    <row r="84" spans="2:32" s="4" customFormat="1" x14ac:dyDescent="0.2">
      <c r="B84" s="7"/>
      <c r="AF84" s="16"/>
    </row>
    <row r="85" spans="2:32" s="4" customFormat="1" x14ac:dyDescent="0.2">
      <c r="B85" s="7"/>
      <c r="AF85" s="16"/>
    </row>
    <row r="86" spans="2:32" s="4" customFormat="1" x14ac:dyDescent="0.2">
      <c r="B86" s="7"/>
      <c r="AF86" s="16"/>
    </row>
    <row r="87" spans="2:32" s="4" customFormat="1" x14ac:dyDescent="0.2">
      <c r="B87" s="7"/>
      <c r="AF87" s="16"/>
    </row>
    <row r="88" spans="2:32" s="4" customFormat="1" x14ac:dyDescent="0.2">
      <c r="B88" s="7"/>
      <c r="AF88" s="16"/>
    </row>
    <row r="89" spans="2:32" s="4" customFormat="1" x14ac:dyDescent="0.2">
      <c r="B89" s="7"/>
      <c r="AF89" s="16"/>
    </row>
    <row r="90" spans="2:32" s="4" customFormat="1" x14ac:dyDescent="0.2">
      <c r="B90" s="7"/>
      <c r="AF90" s="16"/>
    </row>
    <row r="91" spans="2:32" s="4" customFormat="1" x14ac:dyDescent="0.2">
      <c r="B91" s="7"/>
      <c r="AF91" s="16"/>
    </row>
    <row r="92" spans="2:32" s="4" customFormat="1" x14ac:dyDescent="0.2">
      <c r="B92" s="7"/>
      <c r="AF92" s="16"/>
    </row>
    <row r="93" spans="2:32" s="4" customFormat="1" x14ac:dyDescent="0.2">
      <c r="B93" s="7"/>
      <c r="AF93" s="16"/>
    </row>
    <row r="94" spans="2:32" s="4" customFormat="1" x14ac:dyDescent="0.2">
      <c r="B94" s="7"/>
      <c r="AF94" s="16"/>
    </row>
    <row r="95" spans="2:32" s="4" customFormat="1" x14ac:dyDescent="0.2">
      <c r="B95" s="7"/>
      <c r="AF95" s="16"/>
    </row>
    <row r="96" spans="2:32" s="4" customFormat="1" x14ac:dyDescent="0.2">
      <c r="B96" s="7"/>
      <c r="AF96" s="16"/>
    </row>
    <row r="97" spans="2:32" s="4" customFormat="1" x14ac:dyDescent="0.2">
      <c r="B97" s="7"/>
      <c r="AF97" s="16"/>
    </row>
    <row r="98" spans="2:32" s="4" customFormat="1" x14ac:dyDescent="0.2">
      <c r="B98" s="7"/>
      <c r="AF98" s="16"/>
    </row>
    <row r="99" spans="2:32" s="4" customFormat="1" x14ac:dyDescent="0.2">
      <c r="B99" s="7"/>
      <c r="AF99" s="16"/>
    </row>
    <row r="100" spans="2:32" s="4" customFormat="1" x14ac:dyDescent="0.2">
      <c r="B100" s="7"/>
      <c r="AF100" s="16"/>
    </row>
    <row r="101" spans="2:32" s="4" customFormat="1" x14ac:dyDescent="0.2">
      <c r="B101" s="7"/>
      <c r="AF101" s="16"/>
    </row>
    <row r="102" spans="2:32" s="4" customFormat="1" x14ac:dyDescent="0.2">
      <c r="B102" s="7"/>
      <c r="AF102" s="16"/>
    </row>
    <row r="103" spans="2:32" s="4" customFormat="1" x14ac:dyDescent="0.2">
      <c r="B103" s="7"/>
      <c r="AF103" s="16"/>
    </row>
    <row r="104" spans="2:32" s="4" customFormat="1" x14ac:dyDescent="0.2">
      <c r="B104" s="7"/>
      <c r="AF104" s="16"/>
    </row>
    <row r="105" spans="2:32" s="4" customFormat="1" x14ac:dyDescent="0.2">
      <c r="B105" s="7"/>
      <c r="AF105" s="16"/>
    </row>
    <row r="106" spans="2:32" s="4" customFormat="1" x14ac:dyDescent="0.2">
      <c r="B106" s="7"/>
      <c r="AF106" s="16"/>
    </row>
    <row r="107" spans="2:32" s="4" customFormat="1" x14ac:dyDescent="0.2">
      <c r="B107" s="7"/>
      <c r="AF107" s="16"/>
    </row>
    <row r="108" spans="2:32" s="4" customFormat="1" x14ac:dyDescent="0.2">
      <c r="B108" s="7"/>
      <c r="AF108" s="16"/>
    </row>
    <row r="109" spans="2:32" s="4" customFormat="1" x14ac:dyDescent="0.2">
      <c r="B109" s="7"/>
      <c r="AF109" s="16"/>
    </row>
    <row r="110" spans="2:32" s="4" customFormat="1" x14ac:dyDescent="0.2">
      <c r="B110" s="7"/>
      <c r="AF110" s="16"/>
    </row>
    <row r="111" spans="2:32" s="4" customFormat="1" x14ac:dyDescent="0.2">
      <c r="B111" s="7"/>
      <c r="AF111" s="16"/>
    </row>
    <row r="112" spans="2:32" s="4" customFormat="1" x14ac:dyDescent="0.2">
      <c r="B112" s="7"/>
      <c r="AF112" s="16"/>
    </row>
    <row r="113" spans="2:32" s="4" customFormat="1" ht="15.75" x14ac:dyDescent="0.25">
      <c r="B113" s="12"/>
      <c r="C113" s="3"/>
      <c r="D113" s="3"/>
      <c r="E113" s="3"/>
      <c r="F113" s="3"/>
      <c r="G113" s="3"/>
      <c r="H113" s="3"/>
      <c r="I113" s="3"/>
      <c r="J113" s="3"/>
      <c r="K113" s="3"/>
      <c r="L113" s="3"/>
      <c r="M113" s="3"/>
      <c r="AF113" s="16"/>
    </row>
    <row r="114" spans="2:32" x14ac:dyDescent="0.2">
      <c r="B114" s="5"/>
    </row>
    <row r="115" spans="2:32" x14ac:dyDescent="0.2">
      <c r="B115" s="5"/>
    </row>
    <row r="116" spans="2:32" x14ac:dyDescent="0.2">
      <c r="B116" s="5"/>
    </row>
    <row r="117" spans="2:32" x14ac:dyDescent="0.2">
      <c r="B117" s="5"/>
    </row>
    <row r="118" spans="2:32" x14ac:dyDescent="0.2">
      <c r="B118" s="5"/>
    </row>
    <row r="119" spans="2:32" x14ac:dyDescent="0.2">
      <c r="B119" s="5"/>
    </row>
    <row r="120" spans="2:32" x14ac:dyDescent="0.2">
      <c r="B120" s="5"/>
    </row>
    <row r="121" spans="2:32" x14ac:dyDescent="0.2">
      <c r="B121" s="5"/>
    </row>
    <row r="122" spans="2:32" x14ac:dyDescent="0.2">
      <c r="B122" s="5"/>
    </row>
    <row r="123" spans="2:32" x14ac:dyDescent="0.2">
      <c r="B123" s="5"/>
    </row>
    <row r="124" spans="2:32" x14ac:dyDescent="0.2">
      <c r="B124" s="5"/>
    </row>
    <row r="125" spans="2:32" x14ac:dyDescent="0.2">
      <c r="B125" s="5"/>
    </row>
    <row r="126" spans="2:32" x14ac:dyDescent="0.2">
      <c r="B126" s="5"/>
    </row>
    <row r="127" spans="2:32" x14ac:dyDescent="0.2">
      <c r="B127" s="5"/>
    </row>
    <row r="128" spans="2:32"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C575B-4E53-438F-B317-B4BBCC036E80}">
  <dimension ref="A1:AJ190"/>
  <sheetViews>
    <sheetView workbookViewId="0">
      <pane xSplit="1" ySplit="1" topLeftCell="U24" activePane="bottomRight" state="frozen"/>
      <selection pane="topRight" activeCell="B1" sqref="B1"/>
      <selection pane="bottomLeft" activeCell="A2" sqref="A2"/>
      <selection pane="bottomRight" activeCell="AG41" sqref="AG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15</v>
      </c>
      <c r="B1" s="14" t="s">
        <v>222</v>
      </c>
      <c r="C1" s="14" t="s">
        <v>223</v>
      </c>
      <c r="D1" s="14" t="s">
        <v>224</v>
      </c>
      <c r="E1" s="14" t="s">
        <v>225</v>
      </c>
      <c r="F1" s="14" t="s">
        <v>226</v>
      </c>
      <c r="G1" s="14" t="s">
        <v>227</v>
      </c>
      <c r="H1" s="14" t="s">
        <v>228</v>
      </c>
      <c r="I1" s="14" t="s">
        <v>229</v>
      </c>
      <c r="J1" s="14" t="s">
        <v>230</v>
      </c>
      <c r="K1" s="14" t="s">
        <v>231</v>
      </c>
      <c r="L1" s="14" t="s">
        <v>204</v>
      </c>
      <c r="M1" s="14" t="s">
        <v>205</v>
      </c>
      <c r="N1" s="14" t="s">
        <v>206</v>
      </c>
      <c r="O1" s="14" t="s">
        <v>207</v>
      </c>
      <c r="P1" s="14" t="s">
        <v>208</v>
      </c>
      <c r="Q1" s="14" t="s">
        <v>209</v>
      </c>
      <c r="R1" s="14" t="s">
        <v>210</v>
      </c>
      <c r="S1" s="14" t="s">
        <v>211</v>
      </c>
      <c r="T1" s="14" t="s">
        <v>212</v>
      </c>
      <c r="U1" s="14" t="s">
        <v>213</v>
      </c>
      <c r="V1" s="14" t="s">
        <v>214</v>
      </c>
      <c r="W1" s="14" t="s">
        <v>215</v>
      </c>
      <c r="X1" s="14" t="s">
        <v>216</v>
      </c>
      <c r="Y1" s="14" t="s">
        <v>217</v>
      </c>
      <c r="Z1" s="14" t="s">
        <v>218</v>
      </c>
      <c r="AA1" s="14" t="s">
        <v>219</v>
      </c>
      <c r="AB1" s="14" t="s">
        <v>220</v>
      </c>
      <c r="AC1" s="14" t="s">
        <v>221</v>
      </c>
      <c r="AD1" s="14" t="s">
        <v>232</v>
      </c>
      <c r="AE1" s="14" t="s">
        <v>233</v>
      </c>
      <c r="AF1" s="21" t="s">
        <v>234</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5">
        <f t="shared" si="0"/>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E020D-88BD-4B13-BFA5-D686C9037A9E}">
  <dimension ref="A1:AJ190"/>
  <sheetViews>
    <sheetView workbookViewId="0">
      <pane xSplit="1" ySplit="1" topLeftCell="U2" activePane="bottomRight" state="frozen"/>
      <selection pane="topRight" activeCell="B1" sqref="B1"/>
      <selection pane="bottomLeft" activeCell="A2" sqref="A2"/>
      <selection pane="bottomRight" activeCell="AG41" sqref="AG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16</v>
      </c>
      <c r="B1" s="14" t="s">
        <v>238</v>
      </c>
      <c r="C1" s="14" t="s">
        <v>239</v>
      </c>
      <c r="D1" s="14" t="s">
        <v>240</v>
      </c>
      <c r="E1" s="14" t="s">
        <v>241</v>
      </c>
      <c r="F1" s="14" t="s">
        <v>242</v>
      </c>
      <c r="G1" s="14" t="s">
        <v>243</v>
      </c>
      <c r="H1" s="14" t="s">
        <v>244</v>
      </c>
      <c r="I1" s="14" t="s">
        <v>245</v>
      </c>
      <c r="J1" s="14" t="s">
        <v>246</v>
      </c>
      <c r="K1" s="14" t="s">
        <v>247</v>
      </c>
      <c r="L1" s="14" t="s">
        <v>248</v>
      </c>
      <c r="M1" s="14" t="s">
        <v>249</v>
      </c>
      <c r="N1" s="14" t="s">
        <v>250</v>
      </c>
      <c r="O1" s="14" t="s">
        <v>251</v>
      </c>
      <c r="P1" s="14" t="s">
        <v>252</v>
      </c>
      <c r="Q1" s="14" t="s">
        <v>253</v>
      </c>
      <c r="R1" s="14" t="s">
        <v>254</v>
      </c>
      <c r="S1" s="14" t="s">
        <v>255</v>
      </c>
      <c r="T1" s="14" t="s">
        <v>256</v>
      </c>
      <c r="U1" s="14" t="s">
        <v>257</v>
      </c>
      <c r="V1" s="14" t="s">
        <v>258</v>
      </c>
      <c r="W1" s="14" t="s">
        <v>259</v>
      </c>
      <c r="X1" s="14" t="s">
        <v>260</v>
      </c>
      <c r="Y1" s="14" t="s">
        <v>261</v>
      </c>
      <c r="Z1" s="14" t="s">
        <v>262</v>
      </c>
      <c r="AA1" s="14" t="s">
        <v>263</v>
      </c>
      <c r="AB1" s="14" t="s">
        <v>264</v>
      </c>
      <c r="AC1" s="14" t="s">
        <v>265</v>
      </c>
      <c r="AD1" s="14" t="s">
        <v>235</v>
      </c>
      <c r="AE1" s="14" t="s">
        <v>236</v>
      </c>
      <c r="AF1" s="15" t="s">
        <v>237</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5">
        <f t="shared" si="0"/>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380F8-255D-4CF1-9AE1-03706C35CFE0}">
  <dimension ref="A1:AI190"/>
  <sheetViews>
    <sheetView workbookViewId="0">
      <pane xSplit="1" ySplit="1" topLeftCell="T20" activePane="bottomRight" state="frozen"/>
      <selection pane="topRight" activeCell="B1" sqref="B1"/>
      <selection pane="bottomLeft" activeCell="A2" sqref="A2"/>
      <selection pane="bottomRight" activeCell="AF41" sqref="AF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1" width="7.75" style="2" customWidth="1"/>
    <col min="32" max="32" width="18.625" style="15" bestFit="1" customWidth="1"/>
    <col min="33" max="16384" width="10.75" style="2"/>
  </cols>
  <sheetData>
    <row r="1" spans="1:35" s="15" customFormat="1" ht="15.75" x14ac:dyDescent="0.25">
      <c r="A1" s="28" t="s">
        <v>17</v>
      </c>
      <c r="B1" s="14" t="s">
        <v>295</v>
      </c>
      <c r="C1" s="14" t="s">
        <v>269</v>
      </c>
      <c r="D1" s="14" t="s">
        <v>270</v>
      </c>
      <c r="E1" s="14" t="s">
        <v>271</v>
      </c>
      <c r="F1" s="14" t="s">
        <v>272</v>
      </c>
      <c r="G1" s="14" t="s">
        <v>273</v>
      </c>
      <c r="H1" s="14" t="s">
        <v>274</v>
      </c>
      <c r="I1" s="14" t="s">
        <v>275</v>
      </c>
      <c r="J1" s="14" t="s">
        <v>268</v>
      </c>
      <c r="K1" s="14" t="s">
        <v>276</v>
      </c>
      <c r="L1" s="14" t="s">
        <v>277</v>
      </c>
      <c r="M1" s="14" t="s">
        <v>278</v>
      </c>
      <c r="N1" s="14" t="s">
        <v>279</v>
      </c>
      <c r="O1" s="14" t="s">
        <v>280</v>
      </c>
      <c r="P1" s="14" t="s">
        <v>281</v>
      </c>
      <c r="Q1" s="14" t="s">
        <v>282</v>
      </c>
      <c r="R1" s="14" t="s">
        <v>283</v>
      </c>
      <c r="S1" s="14" t="s">
        <v>284</v>
      </c>
      <c r="T1" s="14" t="s">
        <v>285</v>
      </c>
      <c r="U1" s="14" t="s">
        <v>286</v>
      </c>
      <c r="V1" s="14" t="s">
        <v>287</v>
      </c>
      <c r="W1" s="14" t="s">
        <v>288</v>
      </c>
      <c r="X1" s="14" t="s">
        <v>289</v>
      </c>
      <c r="Y1" s="14" t="s">
        <v>290</v>
      </c>
      <c r="Z1" s="14" t="s">
        <v>291</v>
      </c>
      <c r="AA1" s="14" t="s">
        <v>292</v>
      </c>
      <c r="AB1" s="14" t="s">
        <v>293</v>
      </c>
      <c r="AC1" s="14" t="s">
        <v>294</v>
      </c>
      <c r="AD1" s="14" t="s">
        <v>266</v>
      </c>
      <c r="AE1" s="15" t="s">
        <v>267</v>
      </c>
      <c r="AF1" s="13" t="s">
        <v>52</v>
      </c>
      <c r="AG1" s="14"/>
      <c r="AH1" s="14"/>
      <c r="AI1" s="14"/>
    </row>
    <row r="2" spans="1:35"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24" t="s">
        <v>0</v>
      </c>
    </row>
    <row r="3" spans="1:35"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5"/>
    </row>
    <row r="4" spans="1:35"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5"/>
    </row>
    <row r="5" spans="1:35"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5"/>
    </row>
    <row r="6" spans="1:35"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9">
        <f>SUM(B2:AE6)</f>
        <v>0</v>
      </c>
    </row>
    <row r="7" spans="1:35"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24" t="s">
        <v>1</v>
      </c>
    </row>
    <row r="8" spans="1:35"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5"/>
    </row>
    <row r="9" spans="1:35"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5"/>
    </row>
    <row r="10" spans="1:35"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9">
        <f>SUM(B7:AE10)</f>
        <v>0</v>
      </c>
    </row>
    <row r="11" spans="1:35"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24" t="s">
        <v>3</v>
      </c>
    </row>
    <row r="12" spans="1:35"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row>
    <row r="13" spans="1:35"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row>
    <row r="14" spans="1:35"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9">
        <f>SUM(B11:AE14)</f>
        <v>0</v>
      </c>
    </row>
    <row r="15" spans="1:35"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24" t="s">
        <v>2</v>
      </c>
    </row>
    <row r="16" spans="1:35"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row>
    <row r="17" spans="1:32"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row>
    <row r="18" spans="1:32"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row>
    <row r="19" spans="1:32"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9">
        <f>SUM(B15:AE19)</f>
        <v>0</v>
      </c>
    </row>
    <row r="20" spans="1:32"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24" t="s">
        <v>4</v>
      </c>
    </row>
    <row r="21" spans="1:32"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row>
    <row r="22" spans="1:32"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row>
    <row r="23" spans="1:32"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row>
    <row r="24" spans="1:32"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9">
        <f>SUM(B20:AE24)</f>
        <v>0</v>
      </c>
    </row>
    <row r="25" spans="1:32"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24" t="s">
        <v>20</v>
      </c>
    </row>
    <row r="26" spans="1:32"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row>
    <row r="27" spans="1:32"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row>
    <row r="28" spans="1:32"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row>
    <row r="29" spans="1:32"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9">
        <f>SUM(B25:AE29)</f>
        <v>0</v>
      </c>
    </row>
    <row r="30" spans="1:32"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24" t="s">
        <v>5</v>
      </c>
    </row>
    <row r="31" spans="1:32"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row>
    <row r="32" spans="1:32"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row>
    <row r="33" spans="1:32"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row>
    <row r="34" spans="1:32"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9">
        <f>SUM(B30:AE34)</f>
        <v>0</v>
      </c>
    </row>
    <row r="35" spans="1:32"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26" t="s">
        <v>12</v>
      </c>
    </row>
    <row r="36" spans="1:32"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20"/>
    </row>
    <row r="37" spans="1:32"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9">
        <f>SUM(B35:AE37)</f>
        <v>0</v>
      </c>
    </row>
    <row r="38" spans="1:32"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26" t="s">
        <v>12</v>
      </c>
    </row>
    <row r="39" spans="1:32"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row>
    <row r="40" spans="1:32"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9">
        <f>SUM(B38:AE40)</f>
        <v>0</v>
      </c>
    </row>
    <row r="41" spans="1:32"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24" t="s">
        <v>388</v>
      </c>
    </row>
    <row r="42" spans="1:32"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row>
    <row r="43" spans="1:32"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row>
    <row r="44" spans="1:32"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9">
        <f>SUM(B41:AE44)</f>
        <v>0</v>
      </c>
    </row>
    <row r="45" spans="1:32" s="15" customFormat="1" ht="15.75" x14ac:dyDescent="0.25">
      <c r="A45" s="24" t="s">
        <v>19</v>
      </c>
      <c r="B45" s="25">
        <f>SUM(B2:B44)</f>
        <v>0</v>
      </c>
      <c r="C45" s="25">
        <f t="shared" ref="C45:AE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7">
        <f>SUM(B45:AE45)</f>
        <v>0</v>
      </c>
    </row>
    <row r="46" spans="1:32" x14ac:dyDescent="0.2">
      <c r="B46" s="5"/>
    </row>
    <row r="47" spans="1:32" s="4" customFormat="1" ht="15.75" x14ac:dyDescent="0.25">
      <c r="B47" s="9"/>
      <c r="AF47" s="16"/>
    </row>
    <row r="48" spans="1:32" s="4" customFormat="1" x14ac:dyDescent="0.2">
      <c r="B48" s="7"/>
      <c r="AF48" s="16"/>
    </row>
    <row r="49" spans="2:32" s="4" customFormat="1" x14ac:dyDescent="0.2">
      <c r="B49" s="7"/>
      <c r="AF49" s="16"/>
    </row>
    <row r="50" spans="2:32" s="4" customFormat="1" x14ac:dyDescent="0.2">
      <c r="B50" s="7"/>
      <c r="C50" s="10"/>
      <c r="AF50" s="16"/>
    </row>
    <row r="51" spans="2:32" s="4" customFormat="1" x14ac:dyDescent="0.2">
      <c r="B51" s="7"/>
      <c r="AF51" s="16"/>
    </row>
    <row r="52" spans="2:32" s="4" customFormat="1" x14ac:dyDescent="0.2">
      <c r="B52" s="7"/>
      <c r="L52" s="10"/>
      <c r="AF52" s="16"/>
    </row>
    <row r="53" spans="2:32" s="4" customFormat="1" x14ac:dyDescent="0.2">
      <c r="B53" s="7"/>
      <c r="AF53" s="16"/>
    </row>
    <row r="54" spans="2:32" s="4" customFormat="1" x14ac:dyDescent="0.2">
      <c r="B54" s="7"/>
      <c r="AF54" s="16"/>
    </row>
    <row r="55" spans="2:32" s="4" customFormat="1" x14ac:dyDescent="0.2">
      <c r="B55" s="7"/>
      <c r="AF55" s="16"/>
    </row>
    <row r="56" spans="2:32" s="4" customFormat="1" x14ac:dyDescent="0.2">
      <c r="B56" s="7"/>
      <c r="C56" s="10"/>
      <c r="AF56" s="16"/>
    </row>
    <row r="57" spans="2:32" s="4" customFormat="1" ht="15.75" x14ac:dyDescent="0.25">
      <c r="B57" s="7"/>
      <c r="C57" s="10"/>
      <c r="P57" s="3"/>
      <c r="AF57" s="16"/>
    </row>
    <row r="58" spans="2:32" s="4" customFormat="1" ht="15.75" x14ac:dyDescent="0.25">
      <c r="B58" s="7"/>
      <c r="H58" s="10"/>
      <c r="P58" s="3"/>
      <c r="AF58" s="16"/>
    </row>
    <row r="59" spans="2:32" s="4" customFormat="1" ht="15.75" x14ac:dyDescent="0.25">
      <c r="B59" s="7"/>
      <c r="P59" s="3"/>
      <c r="AF59" s="16"/>
    </row>
    <row r="60" spans="2:32" s="4" customFormat="1" ht="15.75" x14ac:dyDescent="0.25">
      <c r="B60" s="7"/>
      <c r="P60" s="3"/>
      <c r="AF60" s="16"/>
    </row>
    <row r="61" spans="2:32" s="4" customFormat="1" ht="15.75" x14ac:dyDescent="0.25">
      <c r="B61" s="7"/>
      <c r="P61" s="3"/>
      <c r="AF61" s="16"/>
    </row>
    <row r="62" spans="2:32" s="4" customFormat="1" ht="15.75" x14ac:dyDescent="0.25">
      <c r="B62" s="7"/>
      <c r="P62" s="3"/>
      <c r="AF62" s="16"/>
    </row>
    <row r="63" spans="2:32" s="4" customFormat="1" ht="15.75" x14ac:dyDescent="0.25">
      <c r="B63" s="7"/>
      <c r="C63" s="10"/>
      <c r="L63" s="10"/>
      <c r="P63" s="3"/>
      <c r="AF63" s="16"/>
    </row>
    <row r="64" spans="2:32" s="4" customFormat="1" ht="15.75" x14ac:dyDescent="0.25">
      <c r="B64" s="7"/>
      <c r="P64" s="3"/>
      <c r="AF64" s="16"/>
    </row>
    <row r="65" spans="2:32" s="4" customFormat="1" ht="15.75" x14ac:dyDescent="0.25">
      <c r="B65" s="7"/>
      <c r="P65" s="3"/>
      <c r="AF65" s="16"/>
    </row>
    <row r="66" spans="2:32" s="4" customFormat="1" ht="15.75" x14ac:dyDescent="0.25">
      <c r="B66" s="7"/>
      <c r="P66" s="3"/>
      <c r="AF66" s="16"/>
    </row>
    <row r="67" spans="2:32" s="4" customFormat="1" ht="15.75" x14ac:dyDescent="0.25">
      <c r="B67" s="7"/>
      <c r="P67" s="3"/>
      <c r="AF67" s="16"/>
    </row>
    <row r="68" spans="2:32" s="4" customFormat="1" x14ac:dyDescent="0.2">
      <c r="B68" s="7"/>
      <c r="AF68" s="16"/>
    </row>
    <row r="69" spans="2:32" s="4" customFormat="1" x14ac:dyDescent="0.2">
      <c r="B69" s="7"/>
      <c r="AF69" s="16"/>
    </row>
    <row r="70" spans="2:32" s="4" customFormat="1" x14ac:dyDescent="0.2">
      <c r="B70" s="7"/>
      <c r="AF70" s="16"/>
    </row>
    <row r="71" spans="2:32" s="4" customFormat="1" x14ac:dyDescent="0.2">
      <c r="B71" s="7"/>
      <c r="AF71" s="16"/>
    </row>
    <row r="72" spans="2:32" s="4" customFormat="1" x14ac:dyDescent="0.2">
      <c r="B72" s="7"/>
      <c r="AF72" s="16"/>
    </row>
    <row r="73" spans="2:32" s="4" customFormat="1" x14ac:dyDescent="0.2">
      <c r="B73" s="7"/>
      <c r="AF73" s="16"/>
    </row>
    <row r="74" spans="2:32" s="4" customFormat="1" x14ac:dyDescent="0.2">
      <c r="B74" s="7"/>
      <c r="AF74" s="16"/>
    </row>
    <row r="75" spans="2:32" s="4" customFormat="1" x14ac:dyDescent="0.2">
      <c r="B75" s="7"/>
      <c r="AF75" s="16"/>
    </row>
    <row r="76" spans="2:32" s="4" customFormat="1" x14ac:dyDescent="0.2">
      <c r="B76" s="7"/>
      <c r="AF76" s="16"/>
    </row>
    <row r="77" spans="2:32" s="4" customFormat="1" x14ac:dyDescent="0.2">
      <c r="B77" s="11"/>
      <c r="AF77" s="16"/>
    </row>
    <row r="78" spans="2:32" s="4" customFormat="1" x14ac:dyDescent="0.2">
      <c r="B78" s="11"/>
      <c r="AF78" s="16"/>
    </row>
    <row r="79" spans="2:32" s="3" customFormat="1" ht="15.75" x14ac:dyDescent="0.25">
      <c r="B79" s="12"/>
      <c r="AF79" s="16"/>
    </row>
    <row r="80" spans="2:32" s="4" customFormat="1" x14ac:dyDescent="0.2">
      <c r="B80" s="7"/>
      <c r="AF80" s="16"/>
    </row>
    <row r="81" spans="2:32" s="4" customFormat="1" ht="15.75" x14ac:dyDescent="0.25">
      <c r="B81" s="9"/>
      <c r="AF81" s="16"/>
    </row>
    <row r="82" spans="2:32" s="4" customFormat="1" x14ac:dyDescent="0.2">
      <c r="B82" s="7"/>
      <c r="AF82" s="16"/>
    </row>
    <row r="83" spans="2:32" s="4" customFormat="1" x14ac:dyDescent="0.2">
      <c r="B83" s="7"/>
      <c r="AF83" s="16"/>
    </row>
    <row r="84" spans="2:32" s="4" customFormat="1" x14ac:dyDescent="0.2">
      <c r="B84" s="7"/>
      <c r="AF84" s="16"/>
    </row>
    <row r="85" spans="2:32" s="4" customFormat="1" x14ac:dyDescent="0.2">
      <c r="B85" s="7"/>
      <c r="AF85" s="16"/>
    </row>
    <row r="86" spans="2:32" s="4" customFormat="1" x14ac:dyDescent="0.2">
      <c r="B86" s="7"/>
      <c r="AF86" s="16"/>
    </row>
    <row r="87" spans="2:32" s="4" customFormat="1" x14ac:dyDescent="0.2">
      <c r="B87" s="7"/>
      <c r="AF87" s="16"/>
    </row>
    <row r="88" spans="2:32" s="4" customFormat="1" x14ac:dyDescent="0.2">
      <c r="B88" s="7"/>
      <c r="AF88" s="16"/>
    </row>
    <row r="89" spans="2:32" s="4" customFormat="1" x14ac:dyDescent="0.2">
      <c r="B89" s="7"/>
      <c r="AF89" s="16"/>
    </row>
    <row r="90" spans="2:32" s="4" customFormat="1" x14ac:dyDescent="0.2">
      <c r="B90" s="7"/>
      <c r="AF90" s="16"/>
    </row>
    <row r="91" spans="2:32" s="4" customFormat="1" x14ac:dyDescent="0.2">
      <c r="B91" s="7"/>
      <c r="AF91" s="16"/>
    </row>
    <row r="92" spans="2:32" s="4" customFormat="1" x14ac:dyDescent="0.2">
      <c r="B92" s="7"/>
      <c r="AF92" s="16"/>
    </row>
    <row r="93" spans="2:32" s="4" customFormat="1" x14ac:dyDescent="0.2">
      <c r="B93" s="7"/>
      <c r="AF93" s="16"/>
    </row>
    <row r="94" spans="2:32" s="4" customFormat="1" x14ac:dyDescent="0.2">
      <c r="B94" s="7"/>
      <c r="AF94" s="16"/>
    </row>
    <row r="95" spans="2:32" s="4" customFormat="1" x14ac:dyDescent="0.2">
      <c r="B95" s="7"/>
      <c r="AF95" s="16"/>
    </row>
    <row r="96" spans="2:32" s="4" customFormat="1" x14ac:dyDescent="0.2">
      <c r="B96" s="7"/>
      <c r="AF96" s="16"/>
    </row>
    <row r="97" spans="2:32" s="4" customFormat="1" x14ac:dyDescent="0.2">
      <c r="B97" s="7"/>
      <c r="AF97" s="16"/>
    </row>
    <row r="98" spans="2:32" s="4" customFormat="1" x14ac:dyDescent="0.2">
      <c r="B98" s="7"/>
      <c r="AF98" s="16"/>
    </row>
    <row r="99" spans="2:32" s="4" customFormat="1" x14ac:dyDescent="0.2">
      <c r="B99" s="7"/>
      <c r="AF99" s="16"/>
    </row>
    <row r="100" spans="2:32" s="4" customFormat="1" x14ac:dyDescent="0.2">
      <c r="B100" s="7"/>
      <c r="AF100" s="16"/>
    </row>
    <row r="101" spans="2:32" s="4" customFormat="1" x14ac:dyDescent="0.2">
      <c r="B101" s="7"/>
      <c r="AF101" s="16"/>
    </row>
    <row r="102" spans="2:32" s="4" customFormat="1" x14ac:dyDescent="0.2">
      <c r="B102" s="7"/>
      <c r="AF102" s="16"/>
    </row>
    <row r="103" spans="2:32" s="4" customFormat="1" x14ac:dyDescent="0.2">
      <c r="B103" s="7"/>
      <c r="AF103" s="16"/>
    </row>
    <row r="104" spans="2:32" s="4" customFormat="1" x14ac:dyDescent="0.2">
      <c r="B104" s="7"/>
      <c r="AF104" s="16"/>
    </row>
    <row r="105" spans="2:32" s="4" customFormat="1" x14ac:dyDescent="0.2">
      <c r="B105" s="7"/>
      <c r="AF105" s="16"/>
    </row>
    <row r="106" spans="2:32" s="4" customFormat="1" x14ac:dyDescent="0.2">
      <c r="B106" s="7"/>
      <c r="AF106" s="16"/>
    </row>
    <row r="107" spans="2:32" s="4" customFormat="1" x14ac:dyDescent="0.2">
      <c r="B107" s="7"/>
      <c r="AF107" s="16"/>
    </row>
    <row r="108" spans="2:32" s="4" customFormat="1" x14ac:dyDescent="0.2">
      <c r="B108" s="7"/>
      <c r="AF108" s="16"/>
    </row>
    <row r="109" spans="2:32" s="4" customFormat="1" x14ac:dyDescent="0.2">
      <c r="B109" s="7"/>
      <c r="AF109" s="16"/>
    </row>
    <row r="110" spans="2:32" s="4" customFormat="1" x14ac:dyDescent="0.2">
      <c r="B110" s="7"/>
      <c r="AF110" s="16"/>
    </row>
    <row r="111" spans="2:32" s="4" customFormat="1" x14ac:dyDescent="0.2">
      <c r="B111" s="7"/>
      <c r="AF111" s="16"/>
    </row>
    <row r="112" spans="2:32" s="4" customFormat="1" x14ac:dyDescent="0.2">
      <c r="B112" s="7"/>
      <c r="AF112" s="16"/>
    </row>
    <row r="113" spans="2:32" s="4" customFormat="1" ht="15.75" x14ac:dyDescent="0.25">
      <c r="B113" s="12"/>
      <c r="C113" s="3"/>
      <c r="D113" s="3"/>
      <c r="E113" s="3"/>
      <c r="F113" s="3"/>
      <c r="G113" s="3"/>
      <c r="H113" s="3"/>
      <c r="I113" s="3"/>
      <c r="J113" s="3"/>
      <c r="K113" s="3"/>
      <c r="L113" s="3"/>
      <c r="M113" s="3"/>
      <c r="AF113" s="16"/>
    </row>
    <row r="114" spans="2:32" x14ac:dyDescent="0.2">
      <c r="B114" s="5"/>
    </row>
    <row r="115" spans="2:32" x14ac:dyDescent="0.2">
      <c r="B115" s="5"/>
    </row>
    <row r="116" spans="2:32" x14ac:dyDescent="0.2">
      <c r="B116" s="5"/>
    </row>
    <row r="117" spans="2:32" x14ac:dyDescent="0.2">
      <c r="B117" s="5"/>
    </row>
    <row r="118" spans="2:32" x14ac:dyDescent="0.2">
      <c r="B118" s="5"/>
    </row>
    <row r="119" spans="2:32" x14ac:dyDescent="0.2">
      <c r="B119" s="5"/>
    </row>
    <row r="120" spans="2:32" x14ac:dyDescent="0.2">
      <c r="B120" s="5"/>
    </row>
    <row r="121" spans="2:32" x14ac:dyDescent="0.2">
      <c r="B121" s="5"/>
    </row>
    <row r="122" spans="2:32" x14ac:dyDescent="0.2">
      <c r="B122" s="5"/>
    </row>
    <row r="123" spans="2:32" x14ac:dyDescent="0.2">
      <c r="B123" s="5"/>
    </row>
    <row r="124" spans="2:32" x14ac:dyDescent="0.2">
      <c r="B124" s="5"/>
    </row>
    <row r="125" spans="2:32" x14ac:dyDescent="0.2">
      <c r="B125" s="5"/>
    </row>
    <row r="126" spans="2:32" x14ac:dyDescent="0.2">
      <c r="B126" s="5"/>
    </row>
    <row r="127" spans="2:32" x14ac:dyDescent="0.2">
      <c r="B127" s="5"/>
    </row>
    <row r="128" spans="2:32"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9489-116A-4F06-B543-3B866A78F47F}">
  <dimension ref="A1:AJ190"/>
  <sheetViews>
    <sheetView workbookViewId="0">
      <pane xSplit="1" ySplit="1" topLeftCell="U31" activePane="bottomRight" state="frozen"/>
      <selection pane="topRight" activeCell="B1" sqref="B1"/>
      <selection pane="bottomLeft" activeCell="A2" sqref="A2"/>
      <selection pane="bottomRight" activeCell="AG41" sqref="AG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6</v>
      </c>
      <c r="B1" s="14" t="s">
        <v>296</v>
      </c>
      <c r="C1" s="14" t="s">
        <v>297</v>
      </c>
      <c r="D1" s="14" t="s">
        <v>298</v>
      </c>
      <c r="E1" s="14" t="s">
        <v>299</v>
      </c>
      <c r="F1" s="14" t="s">
        <v>300</v>
      </c>
      <c r="G1" s="14" t="s">
        <v>301</v>
      </c>
      <c r="H1" s="14" t="s">
        <v>302</v>
      </c>
      <c r="I1" s="14" t="s">
        <v>303</v>
      </c>
      <c r="J1" s="14" t="s">
        <v>304</v>
      </c>
      <c r="K1" s="14" t="s">
        <v>305</v>
      </c>
      <c r="L1" s="14" t="s">
        <v>306</v>
      </c>
      <c r="M1" s="14" t="s">
        <v>307</v>
      </c>
      <c r="N1" s="14" t="s">
        <v>308</v>
      </c>
      <c r="O1" s="14" t="s">
        <v>309</v>
      </c>
      <c r="P1" s="14" t="s">
        <v>310</v>
      </c>
      <c r="Q1" s="14" t="s">
        <v>311</v>
      </c>
      <c r="R1" s="14" t="s">
        <v>312</v>
      </c>
      <c r="S1" s="14" t="s">
        <v>313</v>
      </c>
      <c r="T1" s="14" t="s">
        <v>314</v>
      </c>
      <c r="U1" s="14" t="s">
        <v>315</v>
      </c>
      <c r="V1" s="14" t="s">
        <v>316</v>
      </c>
      <c r="W1" s="14" t="s">
        <v>317</v>
      </c>
      <c r="X1" s="14" t="s">
        <v>318</v>
      </c>
      <c r="Y1" s="14" t="s">
        <v>319</v>
      </c>
      <c r="Z1" s="14" t="s">
        <v>320</v>
      </c>
      <c r="AA1" s="14" t="s">
        <v>321</v>
      </c>
      <c r="AB1" s="14" t="s">
        <v>322</v>
      </c>
      <c r="AC1" s="14" t="s">
        <v>323</v>
      </c>
      <c r="AD1" s="14" t="s">
        <v>324</v>
      </c>
      <c r="AE1" s="14" t="s">
        <v>325</v>
      </c>
      <c r="AF1" s="15" t="s">
        <v>326</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F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SUM(AB2:AB44)</f>
        <v>0</v>
      </c>
      <c r="AC45" s="25">
        <f t="shared" si="0"/>
        <v>0</v>
      </c>
      <c r="AD45" s="25">
        <f t="shared" si="0"/>
        <v>0</v>
      </c>
      <c r="AE45" s="25">
        <f t="shared" si="0"/>
        <v>0</v>
      </c>
      <c r="AF45" s="25">
        <f t="shared" si="0"/>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5D878-5918-4036-BF76-36490C9331A6}">
  <dimension ref="A1:AI190"/>
  <sheetViews>
    <sheetView workbookViewId="0">
      <pane xSplit="1" ySplit="1" topLeftCell="T23" activePane="bottomRight" state="frozen"/>
      <selection pane="topRight" activeCell="B1" sqref="B1"/>
      <selection pane="bottomLeft" activeCell="A2" sqref="A2"/>
      <selection pane="bottomRight" activeCell="AF41" sqref="AF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1" width="7.75" style="2" customWidth="1"/>
    <col min="32" max="32" width="18.625" style="15" bestFit="1" customWidth="1"/>
    <col min="33" max="16384" width="10.75" style="2"/>
  </cols>
  <sheetData>
    <row r="1" spans="1:35" s="15" customFormat="1" ht="15.75" x14ac:dyDescent="0.25">
      <c r="A1" s="28" t="s">
        <v>7</v>
      </c>
      <c r="B1" s="14" t="s">
        <v>356</v>
      </c>
      <c r="C1" s="14" t="s">
        <v>330</v>
      </c>
      <c r="D1" s="14" t="s">
        <v>331</v>
      </c>
      <c r="E1" s="14" t="s">
        <v>332</v>
      </c>
      <c r="F1" s="14" t="s">
        <v>333</v>
      </c>
      <c r="G1" s="14" t="s">
        <v>334</v>
      </c>
      <c r="H1" s="14" t="s">
        <v>335</v>
      </c>
      <c r="I1" s="14" t="s">
        <v>336</v>
      </c>
      <c r="J1" s="14" t="s">
        <v>337</v>
      </c>
      <c r="K1" s="14" t="s">
        <v>338</v>
      </c>
      <c r="L1" s="14" t="s">
        <v>329</v>
      </c>
      <c r="M1" s="14" t="s">
        <v>339</v>
      </c>
      <c r="N1" s="14" t="s">
        <v>340</v>
      </c>
      <c r="O1" s="14" t="s">
        <v>341</v>
      </c>
      <c r="P1" s="14" t="s">
        <v>342</v>
      </c>
      <c r="Q1" s="14" t="s">
        <v>343</v>
      </c>
      <c r="R1" s="14" t="s">
        <v>344</v>
      </c>
      <c r="S1" s="14" t="s">
        <v>345</v>
      </c>
      <c r="T1" s="14" t="s">
        <v>346</v>
      </c>
      <c r="U1" s="14" t="s">
        <v>347</v>
      </c>
      <c r="V1" s="14" t="s">
        <v>348</v>
      </c>
      <c r="W1" s="14" t="s">
        <v>349</v>
      </c>
      <c r="X1" s="14" t="s">
        <v>350</v>
      </c>
      <c r="Y1" s="14" t="s">
        <v>351</v>
      </c>
      <c r="Z1" s="14" t="s">
        <v>352</v>
      </c>
      <c r="AA1" s="14" t="s">
        <v>353</v>
      </c>
      <c r="AB1" s="14" t="s">
        <v>354</v>
      </c>
      <c r="AC1" s="14" t="s">
        <v>355</v>
      </c>
      <c r="AD1" s="14" t="s">
        <v>327</v>
      </c>
      <c r="AE1" s="15" t="s">
        <v>328</v>
      </c>
      <c r="AF1" s="13" t="s">
        <v>52</v>
      </c>
      <c r="AG1" s="14"/>
      <c r="AH1" s="14"/>
      <c r="AI1" s="14"/>
    </row>
    <row r="2" spans="1:35"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24" t="s">
        <v>0</v>
      </c>
    </row>
    <row r="3" spans="1:35"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5"/>
    </row>
    <row r="4" spans="1:35"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5"/>
    </row>
    <row r="5" spans="1:35"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5"/>
    </row>
    <row r="6" spans="1:35"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9">
        <f>SUM(B2:AE6)</f>
        <v>0</v>
      </c>
    </row>
    <row r="7" spans="1:35"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24" t="s">
        <v>1</v>
      </c>
    </row>
    <row r="8" spans="1:35"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5"/>
    </row>
    <row r="9" spans="1:35"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5"/>
    </row>
    <row r="10" spans="1:35"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9">
        <f>SUM(B7:AE10)</f>
        <v>0</v>
      </c>
    </row>
    <row r="11" spans="1:35"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24" t="s">
        <v>3</v>
      </c>
    </row>
    <row r="12" spans="1:35"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row>
    <row r="13" spans="1:35"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row>
    <row r="14" spans="1:35"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9">
        <f>SUM(B11:AE14)</f>
        <v>0</v>
      </c>
    </row>
    <row r="15" spans="1:35"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24" t="s">
        <v>2</v>
      </c>
    </row>
    <row r="16" spans="1:35"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row>
    <row r="17" spans="1:32"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row>
    <row r="18" spans="1:32"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row>
    <row r="19" spans="1:32"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9">
        <f>SUM(B15:AE19)</f>
        <v>0</v>
      </c>
    </row>
    <row r="20" spans="1:32"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24" t="s">
        <v>4</v>
      </c>
    </row>
    <row r="21" spans="1:32"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row>
    <row r="22" spans="1:32"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row>
    <row r="23" spans="1:32"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row>
    <row r="24" spans="1:32"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9">
        <f>SUM(B20:AE24)</f>
        <v>0</v>
      </c>
    </row>
    <row r="25" spans="1:32"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24" t="s">
        <v>20</v>
      </c>
    </row>
    <row r="26" spans="1:32"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row>
    <row r="27" spans="1:32"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row>
    <row r="28" spans="1:32"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row>
    <row r="29" spans="1:32"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9">
        <f>SUM(B25:AE29)</f>
        <v>0</v>
      </c>
    </row>
    <row r="30" spans="1:32"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24" t="s">
        <v>5</v>
      </c>
    </row>
    <row r="31" spans="1:32"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row>
    <row r="32" spans="1:32"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row>
    <row r="33" spans="1:32"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row>
    <row r="34" spans="1:32"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9">
        <f>SUM(B30:AE34)</f>
        <v>0</v>
      </c>
    </row>
    <row r="35" spans="1:32"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26" t="s">
        <v>12</v>
      </c>
    </row>
    <row r="36" spans="1:32"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20"/>
    </row>
    <row r="37" spans="1:32"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9">
        <f>SUM(B35:AE37)</f>
        <v>0</v>
      </c>
    </row>
    <row r="38" spans="1:32"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26" t="s">
        <v>12</v>
      </c>
    </row>
    <row r="39" spans="1:32"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row>
    <row r="40" spans="1:32"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9">
        <f>SUM(B38:AE40)</f>
        <v>0</v>
      </c>
    </row>
    <row r="41" spans="1:32"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24" t="s">
        <v>388</v>
      </c>
    </row>
    <row r="42" spans="1:32"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row>
    <row r="43" spans="1:32"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row>
    <row r="44" spans="1:32"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9">
        <f>SUM(B41:AE44)</f>
        <v>0</v>
      </c>
    </row>
    <row r="45" spans="1:32" s="15" customFormat="1" ht="15.75" x14ac:dyDescent="0.25">
      <c r="A45" s="24" t="s">
        <v>19</v>
      </c>
      <c r="B45" s="25">
        <f>SUM(B2:B44)</f>
        <v>0</v>
      </c>
      <c r="C45" s="25">
        <f t="shared" ref="C45:AE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 t="shared" si="0"/>
        <v>0</v>
      </c>
      <c r="AC45" s="25">
        <f t="shared" si="0"/>
        <v>0</v>
      </c>
      <c r="AD45" s="25">
        <f t="shared" si="0"/>
        <v>0</v>
      </c>
      <c r="AE45" s="25">
        <f t="shared" si="0"/>
        <v>0</v>
      </c>
      <c r="AF45" s="27">
        <f>SUM(B45:AE45)</f>
        <v>0</v>
      </c>
    </row>
    <row r="46" spans="1:32" x14ac:dyDescent="0.2">
      <c r="B46" s="5"/>
    </row>
    <row r="47" spans="1:32" s="4" customFormat="1" ht="15.75" x14ac:dyDescent="0.25">
      <c r="B47" s="9"/>
      <c r="AF47" s="16"/>
    </row>
    <row r="48" spans="1:32" s="4" customFormat="1" x14ac:dyDescent="0.2">
      <c r="B48" s="7"/>
      <c r="AF48" s="16"/>
    </row>
    <row r="49" spans="2:32" s="4" customFormat="1" x14ac:dyDescent="0.2">
      <c r="B49" s="7"/>
      <c r="AF49" s="16"/>
    </row>
    <row r="50" spans="2:32" s="4" customFormat="1" x14ac:dyDescent="0.2">
      <c r="B50" s="7"/>
      <c r="C50" s="10"/>
      <c r="AF50" s="16"/>
    </row>
    <row r="51" spans="2:32" s="4" customFormat="1" x14ac:dyDescent="0.2">
      <c r="B51" s="7"/>
      <c r="AF51" s="16"/>
    </row>
    <row r="52" spans="2:32" s="4" customFormat="1" x14ac:dyDescent="0.2">
      <c r="B52" s="7"/>
      <c r="L52" s="10"/>
      <c r="AF52" s="16"/>
    </row>
    <row r="53" spans="2:32" s="4" customFormat="1" x14ac:dyDescent="0.2">
      <c r="B53" s="7"/>
      <c r="AF53" s="16"/>
    </row>
    <row r="54" spans="2:32" s="4" customFormat="1" x14ac:dyDescent="0.2">
      <c r="B54" s="7"/>
      <c r="AF54" s="16"/>
    </row>
    <row r="55" spans="2:32" s="4" customFormat="1" x14ac:dyDescent="0.2">
      <c r="B55" s="7"/>
      <c r="AF55" s="16"/>
    </row>
    <row r="56" spans="2:32" s="4" customFormat="1" x14ac:dyDescent="0.2">
      <c r="B56" s="7"/>
      <c r="C56" s="10"/>
      <c r="AF56" s="16"/>
    </row>
    <row r="57" spans="2:32" s="4" customFormat="1" ht="15.75" x14ac:dyDescent="0.25">
      <c r="B57" s="7"/>
      <c r="C57" s="10"/>
      <c r="P57" s="3"/>
      <c r="AF57" s="16"/>
    </row>
    <row r="58" spans="2:32" s="4" customFormat="1" ht="15.75" x14ac:dyDescent="0.25">
      <c r="B58" s="7"/>
      <c r="H58" s="10"/>
      <c r="P58" s="3"/>
      <c r="AF58" s="16"/>
    </row>
    <row r="59" spans="2:32" s="4" customFormat="1" ht="15.75" x14ac:dyDescent="0.25">
      <c r="B59" s="7"/>
      <c r="P59" s="3"/>
      <c r="AF59" s="16"/>
    </row>
    <row r="60" spans="2:32" s="4" customFormat="1" ht="15.75" x14ac:dyDescent="0.25">
      <c r="B60" s="7"/>
      <c r="P60" s="3"/>
      <c r="AF60" s="16"/>
    </row>
    <row r="61" spans="2:32" s="4" customFormat="1" ht="15.75" x14ac:dyDescent="0.25">
      <c r="B61" s="7"/>
      <c r="P61" s="3"/>
      <c r="AF61" s="16"/>
    </row>
    <row r="62" spans="2:32" s="4" customFormat="1" ht="15.75" x14ac:dyDescent="0.25">
      <c r="B62" s="7"/>
      <c r="P62" s="3"/>
      <c r="AF62" s="16"/>
    </row>
    <row r="63" spans="2:32" s="4" customFormat="1" ht="15.75" x14ac:dyDescent="0.25">
      <c r="B63" s="7"/>
      <c r="C63" s="10"/>
      <c r="L63" s="10"/>
      <c r="P63" s="3"/>
      <c r="AF63" s="16"/>
    </row>
    <row r="64" spans="2:32" s="4" customFormat="1" ht="15.75" x14ac:dyDescent="0.25">
      <c r="B64" s="7"/>
      <c r="P64" s="3"/>
      <c r="AF64" s="16"/>
    </row>
    <row r="65" spans="2:32" s="4" customFormat="1" ht="15.75" x14ac:dyDescent="0.25">
      <c r="B65" s="7"/>
      <c r="P65" s="3"/>
      <c r="AF65" s="16"/>
    </row>
    <row r="66" spans="2:32" s="4" customFormat="1" ht="15.75" x14ac:dyDescent="0.25">
      <c r="B66" s="7"/>
      <c r="P66" s="3"/>
      <c r="AF66" s="16"/>
    </row>
    <row r="67" spans="2:32" s="4" customFormat="1" ht="15.75" x14ac:dyDescent="0.25">
      <c r="B67" s="7"/>
      <c r="P67" s="3"/>
      <c r="AF67" s="16"/>
    </row>
    <row r="68" spans="2:32" s="4" customFormat="1" x14ac:dyDescent="0.2">
      <c r="B68" s="7"/>
      <c r="AF68" s="16"/>
    </row>
    <row r="69" spans="2:32" s="4" customFormat="1" x14ac:dyDescent="0.2">
      <c r="B69" s="7"/>
      <c r="AF69" s="16"/>
    </row>
    <row r="70" spans="2:32" s="4" customFormat="1" x14ac:dyDescent="0.2">
      <c r="B70" s="7"/>
      <c r="AF70" s="16"/>
    </row>
    <row r="71" spans="2:32" s="4" customFormat="1" x14ac:dyDescent="0.2">
      <c r="B71" s="7"/>
      <c r="AF71" s="16"/>
    </row>
    <row r="72" spans="2:32" s="4" customFormat="1" x14ac:dyDescent="0.2">
      <c r="B72" s="7"/>
      <c r="AF72" s="16"/>
    </row>
    <row r="73" spans="2:32" s="4" customFormat="1" x14ac:dyDescent="0.2">
      <c r="B73" s="7"/>
      <c r="AF73" s="16"/>
    </row>
    <row r="74" spans="2:32" s="4" customFormat="1" x14ac:dyDescent="0.2">
      <c r="B74" s="7"/>
      <c r="AF74" s="16"/>
    </row>
    <row r="75" spans="2:32" s="4" customFormat="1" x14ac:dyDescent="0.2">
      <c r="B75" s="7"/>
      <c r="AF75" s="16"/>
    </row>
    <row r="76" spans="2:32" s="4" customFormat="1" x14ac:dyDescent="0.2">
      <c r="B76" s="7"/>
      <c r="AF76" s="16"/>
    </row>
    <row r="77" spans="2:32" s="4" customFormat="1" x14ac:dyDescent="0.2">
      <c r="B77" s="11"/>
      <c r="AF77" s="16"/>
    </row>
    <row r="78" spans="2:32" s="4" customFormat="1" x14ac:dyDescent="0.2">
      <c r="B78" s="11"/>
      <c r="AF78" s="16"/>
    </row>
    <row r="79" spans="2:32" s="3" customFormat="1" ht="15.75" x14ac:dyDescent="0.25">
      <c r="B79" s="12"/>
      <c r="AF79" s="16"/>
    </row>
    <row r="80" spans="2:32" s="4" customFormat="1" x14ac:dyDescent="0.2">
      <c r="B80" s="7"/>
      <c r="AF80" s="16"/>
    </row>
    <row r="81" spans="2:32" s="4" customFormat="1" ht="15.75" x14ac:dyDescent="0.25">
      <c r="B81" s="9"/>
      <c r="AF81" s="16"/>
    </row>
    <row r="82" spans="2:32" s="4" customFormat="1" x14ac:dyDescent="0.2">
      <c r="B82" s="7"/>
      <c r="AF82" s="16"/>
    </row>
    <row r="83" spans="2:32" s="4" customFormat="1" x14ac:dyDescent="0.2">
      <c r="B83" s="7"/>
      <c r="AF83" s="16"/>
    </row>
    <row r="84" spans="2:32" s="4" customFormat="1" x14ac:dyDescent="0.2">
      <c r="B84" s="7"/>
      <c r="AF84" s="16"/>
    </row>
    <row r="85" spans="2:32" s="4" customFormat="1" x14ac:dyDescent="0.2">
      <c r="B85" s="7"/>
      <c r="AF85" s="16"/>
    </row>
    <row r="86" spans="2:32" s="4" customFormat="1" x14ac:dyDescent="0.2">
      <c r="B86" s="7"/>
      <c r="AF86" s="16"/>
    </row>
    <row r="87" spans="2:32" s="4" customFormat="1" x14ac:dyDescent="0.2">
      <c r="B87" s="7"/>
      <c r="AF87" s="16"/>
    </row>
    <row r="88" spans="2:32" s="4" customFormat="1" x14ac:dyDescent="0.2">
      <c r="B88" s="7"/>
      <c r="AF88" s="16"/>
    </row>
    <row r="89" spans="2:32" s="4" customFormat="1" x14ac:dyDescent="0.2">
      <c r="B89" s="7"/>
      <c r="AF89" s="16"/>
    </row>
    <row r="90" spans="2:32" s="4" customFormat="1" x14ac:dyDescent="0.2">
      <c r="B90" s="7"/>
      <c r="AF90" s="16"/>
    </row>
    <row r="91" spans="2:32" s="4" customFormat="1" x14ac:dyDescent="0.2">
      <c r="B91" s="7"/>
      <c r="AF91" s="16"/>
    </row>
    <row r="92" spans="2:32" s="4" customFormat="1" x14ac:dyDescent="0.2">
      <c r="B92" s="7"/>
      <c r="AF92" s="16"/>
    </row>
    <row r="93" spans="2:32" s="4" customFormat="1" x14ac:dyDescent="0.2">
      <c r="B93" s="7"/>
      <c r="AF93" s="16"/>
    </row>
    <row r="94" spans="2:32" s="4" customFormat="1" x14ac:dyDescent="0.2">
      <c r="B94" s="7"/>
      <c r="AF94" s="16"/>
    </row>
    <row r="95" spans="2:32" s="4" customFormat="1" x14ac:dyDescent="0.2">
      <c r="B95" s="7"/>
      <c r="AF95" s="16"/>
    </row>
    <row r="96" spans="2:32" s="4" customFormat="1" x14ac:dyDescent="0.2">
      <c r="B96" s="7"/>
      <c r="AF96" s="16"/>
    </row>
    <row r="97" spans="2:32" s="4" customFormat="1" x14ac:dyDescent="0.2">
      <c r="B97" s="7"/>
      <c r="AF97" s="16"/>
    </row>
    <row r="98" spans="2:32" s="4" customFormat="1" x14ac:dyDescent="0.2">
      <c r="B98" s="7"/>
      <c r="AF98" s="16"/>
    </row>
    <row r="99" spans="2:32" s="4" customFormat="1" x14ac:dyDescent="0.2">
      <c r="B99" s="7"/>
      <c r="AF99" s="16"/>
    </row>
    <row r="100" spans="2:32" s="4" customFormat="1" x14ac:dyDescent="0.2">
      <c r="B100" s="7"/>
      <c r="AF100" s="16"/>
    </row>
    <row r="101" spans="2:32" s="4" customFormat="1" x14ac:dyDescent="0.2">
      <c r="B101" s="7"/>
      <c r="AF101" s="16"/>
    </row>
    <row r="102" spans="2:32" s="4" customFormat="1" x14ac:dyDescent="0.2">
      <c r="B102" s="7"/>
      <c r="AF102" s="16"/>
    </row>
    <row r="103" spans="2:32" s="4" customFormat="1" x14ac:dyDescent="0.2">
      <c r="B103" s="7"/>
      <c r="AF103" s="16"/>
    </row>
    <row r="104" spans="2:32" s="4" customFormat="1" x14ac:dyDescent="0.2">
      <c r="B104" s="7"/>
      <c r="AF104" s="16"/>
    </row>
    <row r="105" spans="2:32" s="4" customFormat="1" x14ac:dyDescent="0.2">
      <c r="B105" s="7"/>
      <c r="AF105" s="16"/>
    </row>
    <row r="106" spans="2:32" s="4" customFormat="1" x14ac:dyDescent="0.2">
      <c r="B106" s="7"/>
      <c r="AF106" s="16"/>
    </row>
    <row r="107" spans="2:32" s="4" customFormat="1" x14ac:dyDescent="0.2">
      <c r="B107" s="7"/>
      <c r="AF107" s="16"/>
    </row>
    <row r="108" spans="2:32" s="4" customFormat="1" x14ac:dyDescent="0.2">
      <c r="B108" s="7"/>
      <c r="AF108" s="16"/>
    </row>
    <row r="109" spans="2:32" s="4" customFormat="1" x14ac:dyDescent="0.2">
      <c r="B109" s="7"/>
      <c r="AF109" s="16"/>
    </row>
    <row r="110" spans="2:32" s="4" customFormat="1" x14ac:dyDescent="0.2">
      <c r="B110" s="7"/>
      <c r="AF110" s="16"/>
    </row>
    <row r="111" spans="2:32" s="4" customFormat="1" x14ac:dyDescent="0.2">
      <c r="B111" s="7"/>
      <c r="AF111" s="16"/>
    </row>
    <row r="112" spans="2:32" s="4" customFormat="1" x14ac:dyDescent="0.2">
      <c r="B112" s="7"/>
      <c r="AF112" s="16"/>
    </row>
    <row r="113" spans="2:32" s="4" customFormat="1" ht="15.75" x14ac:dyDescent="0.25">
      <c r="B113" s="12"/>
      <c r="C113" s="3"/>
      <c r="D113" s="3"/>
      <c r="E113" s="3"/>
      <c r="F113" s="3"/>
      <c r="G113" s="3"/>
      <c r="H113" s="3"/>
      <c r="I113" s="3"/>
      <c r="J113" s="3"/>
      <c r="K113" s="3"/>
      <c r="L113" s="3"/>
      <c r="M113" s="3"/>
      <c r="AF113" s="16"/>
    </row>
    <row r="114" spans="2:32" x14ac:dyDescent="0.2">
      <c r="B114" s="5"/>
    </row>
    <row r="115" spans="2:32" x14ac:dyDescent="0.2">
      <c r="B115" s="5"/>
    </row>
    <row r="116" spans="2:32" x14ac:dyDescent="0.2">
      <c r="B116" s="5"/>
    </row>
    <row r="117" spans="2:32" x14ac:dyDescent="0.2">
      <c r="B117" s="5"/>
    </row>
    <row r="118" spans="2:32" x14ac:dyDescent="0.2">
      <c r="B118" s="5"/>
    </row>
    <row r="119" spans="2:32" x14ac:dyDescent="0.2">
      <c r="B119" s="5"/>
    </row>
    <row r="120" spans="2:32" x14ac:dyDescent="0.2">
      <c r="B120" s="5"/>
    </row>
    <row r="121" spans="2:32" x14ac:dyDescent="0.2">
      <c r="B121" s="5"/>
    </row>
    <row r="122" spans="2:32" x14ac:dyDescent="0.2">
      <c r="B122" s="5"/>
    </row>
    <row r="123" spans="2:32" x14ac:dyDescent="0.2">
      <c r="B123" s="5"/>
    </row>
    <row r="124" spans="2:32" x14ac:dyDescent="0.2">
      <c r="B124" s="5"/>
    </row>
    <row r="125" spans="2:32" x14ac:dyDescent="0.2">
      <c r="B125" s="5"/>
    </row>
    <row r="126" spans="2:32" x14ac:dyDescent="0.2">
      <c r="B126" s="5"/>
    </row>
    <row r="127" spans="2:32" x14ac:dyDescent="0.2">
      <c r="B127" s="5"/>
    </row>
    <row r="128" spans="2:32"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410C4-BF72-4F55-A39C-D4303610D0DD}">
  <dimension ref="A1:AJ190"/>
  <sheetViews>
    <sheetView workbookViewId="0">
      <pane xSplit="1" ySplit="1" topLeftCell="B2" activePane="bottomRight" state="frozen"/>
      <selection pane="topRight" activeCell="B1" sqref="B1"/>
      <selection pane="bottomLeft" activeCell="A2" sqref="A2"/>
      <selection pane="bottomRight" activeCell="AC41" sqref="AC41"/>
    </sheetView>
  </sheetViews>
  <sheetFormatPr baseColWidth="10" defaultColWidth="10.75" defaultRowHeight="15" x14ac:dyDescent="0.2"/>
  <cols>
    <col min="1" max="1" width="18.625" style="2" bestFit="1" customWidth="1"/>
    <col min="2" max="2" width="7.75" style="6" customWidth="1"/>
    <col min="3" max="10" width="7.75" style="2" customWidth="1"/>
    <col min="11" max="11" width="7.625" style="2" customWidth="1"/>
    <col min="12" max="12" width="7.75" style="2" bestFit="1" customWidth="1"/>
    <col min="13" max="19" width="7.75" style="2" customWidth="1"/>
    <col min="20" max="20" width="7.625" style="2" customWidth="1"/>
    <col min="21" max="24" width="7.75" style="2" customWidth="1"/>
    <col min="25" max="26" width="7.625" style="2" customWidth="1"/>
    <col min="27" max="32" width="7.75" style="2" customWidth="1"/>
    <col min="33" max="33" width="18.625" style="15" bestFit="1" customWidth="1"/>
    <col min="34" max="16384" width="10.75" style="2"/>
  </cols>
  <sheetData>
    <row r="1" spans="1:36" s="15" customFormat="1" ht="15.75" x14ac:dyDescent="0.25">
      <c r="A1" s="28" t="s">
        <v>8</v>
      </c>
      <c r="B1" s="14" t="s">
        <v>360</v>
      </c>
      <c r="C1" s="14" t="s">
        <v>361</v>
      </c>
      <c r="D1" s="14" t="s">
        <v>362</v>
      </c>
      <c r="E1" s="14" t="s">
        <v>363</v>
      </c>
      <c r="F1" s="14" t="s">
        <v>364</v>
      </c>
      <c r="G1" s="14" t="s">
        <v>365</v>
      </c>
      <c r="H1" s="14" t="s">
        <v>366</v>
      </c>
      <c r="I1" s="14" t="s">
        <v>367</v>
      </c>
      <c r="J1" s="14" t="s">
        <v>368</v>
      </c>
      <c r="K1" s="14" t="s">
        <v>369</v>
      </c>
      <c r="L1" s="14" t="s">
        <v>370</v>
      </c>
      <c r="M1" s="14" t="s">
        <v>371</v>
      </c>
      <c r="N1" s="14" t="s">
        <v>372</v>
      </c>
      <c r="O1" s="14" t="s">
        <v>373</v>
      </c>
      <c r="P1" s="14" t="s">
        <v>374</v>
      </c>
      <c r="Q1" s="14" t="s">
        <v>375</v>
      </c>
      <c r="R1" s="14" t="s">
        <v>376</v>
      </c>
      <c r="S1" s="14" t="s">
        <v>377</v>
      </c>
      <c r="T1" s="14" t="s">
        <v>378</v>
      </c>
      <c r="U1" s="14" t="s">
        <v>379</v>
      </c>
      <c r="V1" s="14" t="s">
        <v>380</v>
      </c>
      <c r="W1" s="14" t="s">
        <v>381</v>
      </c>
      <c r="X1" s="14" t="s">
        <v>382</v>
      </c>
      <c r="Y1" s="14" t="s">
        <v>383</v>
      </c>
      <c r="Z1" s="14" t="s">
        <v>384</v>
      </c>
      <c r="AA1" s="14" t="s">
        <v>385</v>
      </c>
      <c r="AB1" s="14" t="s">
        <v>386</v>
      </c>
      <c r="AC1" s="14" t="s">
        <v>387</v>
      </c>
      <c r="AD1" s="14" t="s">
        <v>357</v>
      </c>
      <c r="AE1" s="14" t="s">
        <v>358</v>
      </c>
      <c r="AF1" s="15" t="s">
        <v>359</v>
      </c>
      <c r="AG1" s="13" t="s">
        <v>52</v>
      </c>
      <c r="AH1" s="14"/>
      <c r="AI1" s="14"/>
      <c r="AJ1" s="14"/>
    </row>
    <row r="2" spans="1:36" s="1" customFormat="1" ht="15.75" x14ac:dyDescent="0.25">
      <c r="A2" s="23" t="s">
        <v>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24" t="s">
        <v>0</v>
      </c>
    </row>
    <row r="3" spans="1:36" s="1" customFormat="1" ht="15.75" x14ac:dyDescent="0.25">
      <c r="B3" s="17"/>
      <c r="C3" s="18"/>
      <c r="D3" s="18"/>
      <c r="E3" s="18"/>
      <c r="F3" s="18"/>
      <c r="G3" s="18"/>
      <c r="H3" s="18"/>
      <c r="I3" s="18"/>
      <c r="J3" s="18"/>
      <c r="K3" s="18"/>
      <c r="L3" s="18"/>
      <c r="M3" s="17"/>
      <c r="N3" s="17"/>
      <c r="O3" s="17"/>
      <c r="P3" s="17"/>
      <c r="Q3" s="17"/>
      <c r="R3" s="17"/>
      <c r="S3" s="17"/>
      <c r="T3" s="17"/>
      <c r="U3" s="17"/>
      <c r="V3" s="17"/>
      <c r="W3" s="17"/>
      <c r="X3" s="17"/>
      <c r="Y3" s="17"/>
      <c r="Z3" s="17"/>
      <c r="AA3" s="17"/>
      <c r="AB3" s="17"/>
      <c r="AC3" s="17"/>
      <c r="AD3" s="17"/>
      <c r="AE3" s="17"/>
      <c r="AF3" s="17"/>
      <c r="AG3" s="15"/>
    </row>
    <row r="4" spans="1:36" s="1" customFormat="1" ht="15.75" x14ac:dyDescent="0.25">
      <c r="B4" s="17"/>
      <c r="C4" s="18"/>
      <c r="D4" s="18"/>
      <c r="E4" s="18"/>
      <c r="F4" s="18"/>
      <c r="G4" s="18"/>
      <c r="H4" s="18"/>
      <c r="I4" s="18" t="s">
        <v>53</v>
      </c>
      <c r="J4" s="18"/>
      <c r="K4" s="18"/>
      <c r="L4" s="18"/>
      <c r="M4" s="17"/>
      <c r="N4" s="17"/>
      <c r="O4" s="17"/>
      <c r="P4" s="17"/>
      <c r="Q4" s="17"/>
      <c r="R4" s="17"/>
      <c r="S4" s="17"/>
      <c r="T4" s="17"/>
      <c r="U4" s="17"/>
      <c r="V4" s="17"/>
      <c r="W4" s="17"/>
      <c r="X4" s="17"/>
      <c r="Y4" s="17"/>
      <c r="Z4" s="17"/>
      <c r="AA4" s="17"/>
      <c r="AB4" s="17"/>
      <c r="AC4" s="17"/>
      <c r="AD4" s="17"/>
      <c r="AE4" s="17"/>
      <c r="AF4" s="17"/>
      <c r="AG4" s="15"/>
    </row>
    <row r="5" spans="1:36" s="1" customFormat="1" ht="15.75" x14ac:dyDescent="0.25">
      <c r="B5" s="17"/>
      <c r="C5" s="18"/>
      <c r="D5" s="18"/>
      <c r="E5" s="18"/>
      <c r="F5" s="18"/>
      <c r="G5" s="18"/>
      <c r="H5" s="18"/>
      <c r="I5" s="18"/>
      <c r="J5" s="18"/>
      <c r="K5" s="18"/>
      <c r="L5" s="18"/>
      <c r="M5" s="17"/>
      <c r="N5" s="17"/>
      <c r="O5" s="17"/>
      <c r="P5" s="17"/>
      <c r="Q5" s="17"/>
      <c r="R5" s="17"/>
      <c r="S5" s="17"/>
      <c r="T5" s="17"/>
      <c r="U5" s="17"/>
      <c r="V5" s="17"/>
      <c r="W5" s="17"/>
      <c r="X5" s="17"/>
      <c r="Y5" s="17"/>
      <c r="Z5" s="17"/>
      <c r="AA5" s="17"/>
      <c r="AB5" s="17"/>
      <c r="AC5" s="17"/>
      <c r="AD5" s="17"/>
      <c r="AE5" s="17"/>
      <c r="AF5" s="17"/>
      <c r="AG5" s="15"/>
    </row>
    <row r="6" spans="1:36" s="1" customFormat="1" ht="15.75" x14ac:dyDescent="0.25">
      <c r="B6" s="17"/>
      <c r="C6" s="18"/>
      <c r="D6" s="18"/>
      <c r="E6" s="18"/>
      <c r="F6" s="18"/>
      <c r="G6" s="18"/>
      <c r="H6" s="18"/>
      <c r="I6" s="18"/>
      <c r="J6" s="18"/>
      <c r="K6" s="18"/>
      <c r="L6" s="18"/>
      <c r="M6" s="17"/>
      <c r="N6" s="17"/>
      <c r="O6" s="17"/>
      <c r="P6" s="17"/>
      <c r="Q6" s="17"/>
      <c r="R6" s="17"/>
      <c r="S6" s="17"/>
      <c r="T6" s="17"/>
      <c r="U6" s="17"/>
      <c r="V6" s="17"/>
      <c r="W6" s="17"/>
      <c r="X6" s="17"/>
      <c r="Y6" s="17"/>
      <c r="Z6" s="17"/>
      <c r="AA6" s="17"/>
      <c r="AB6" s="17"/>
      <c r="AC6" s="17"/>
      <c r="AD6" s="17"/>
      <c r="AE6" s="17"/>
      <c r="AF6" s="17"/>
      <c r="AG6" s="19">
        <f>SUM(B2:AF6)</f>
        <v>0</v>
      </c>
    </row>
    <row r="7" spans="1:36" s="1" customFormat="1" ht="15.75" x14ac:dyDescent="0.25">
      <c r="A7" s="23" t="s">
        <v>1</v>
      </c>
      <c r="B7" s="17"/>
      <c r="C7" s="18"/>
      <c r="D7" s="18"/>
      <c r="E7" s="18"/>
      <c r="F7" s="18"/>
      <c r="G7" s="18"/>
      <c r="H7" s="18"/>
      <c r="I7" s="18"/>
      <c r="J7" s="18"/>
      <c r="K7" s="18"/>
      <c r="L7" s="18"/>
      <c r="M7" s="17"/>
      <c r="N7" s="17"/>
      <c r="O7" s="17"/>
      <c r="P7" s="17"/>
      <c r="Q7" s="17"/>
      <c r="R7" s="17"/>
      <c r="S7" s="17"/>
      <c r="T7" s="17"/>
      <c r="U7" s="17"/>
      <c r="V7" s="17"/>
      <c r="W7" s="17"/>
      <c r="X7" s="17"/>
      <c r="Y7" s="17"/>
      <c r="Z7" s="17"/>
      <c r="AA7" s="17"/>
      <c r="AB7" s="17"/>
      <c r="AC7" s="17"/>
      <c r="AD7" s="17"/>
      <c r="AE7" s="17"/>
      <c r="AF7" s="17"/>
      <c r="AG7" s="24" t="s">
        <v>1</v>
      </c>
    </row>
    <row r="8" spans="1:36" s="1" customFormat="1" ht="15.75" x14ac:dyDescent="0.25">
      <c r="B8" s="17"/>
      <c r="C8" s="18"/>
      <c r="D8" s="18"/>
      <c r="E8" s="18"/>
      <c r="F8" s="18"/>
      <c r="G8" s="18"/>
      <c r="H8" s="18"/>
      <c r="I8" s="18"/>
      <c r="J8" s="18"/>
      <c r="K8" s="18"/>
      <c r="L8" s="18"/>
      <c r="M8" s="17"/>
      <c r="N8" s="17"/>
      <c r="O8" s="17"/>
      <c r="P8" s="17"/>
      <c r="Q8" s="17"/>
      <c r="R8" s="17"/>
      <c r="S8" s="17"/>
      <c r="T8" s="17"/>
      <c r="U8" s="17"/>
      <c r="V8" s="17"/>
      <c r="W8" s="17"/>
      <c r="X8" s="17"/>
      <c r="Y8" s="17"/>
      <c r="Z8" s="17"/>
      <c r="AA8" s="17"/>
      <c r="AB8" s="17"/>
      <c r="AC8" s="17"/>
      <c r="AD8" s="17"/>
      <c r="AE8" s="17"/>
      <c r="AF8" s="17"/>
      <c r="AG8" s="15"/>
    </row>
    <row r="9" spans="1:36" s="1" customFormat="1" ht="15.75" x14ac:dyDescent="0.25">
      <c r="B9" s="17"/>
      <c r="C9" s="18"/>
      <c r="D9" s="18"/>
      <c r="E9" s="18"/>
      <c r="F9" s="18"/>
      <c r="G9" s="18"/>
      <c r="H9" s="18"/>
      <c r="I9" s="18"/>
      <c r="J9" s="18"/>
      <c r="K9" s="18"/>
      <c r="L9" s="18"/>
      <c r="M9" s="17"/>
      <c r="N9" s="17"/>
      <c r="O9" s="17"/>
      <c r="P9" s="17"/>
      <c r="Q9" s="17"/>
      <c r="R9" s="17"/>
      <c r="S9" s="17"/>
      <c r="T9" s="17"/>
      <c r="U9" s="17"/>
      <c r="V9" s="17"/>
      <c r="W9" s="17"/>
      <c r="X9" s="17"/>
      <c r="Y9" s="17"/>
      <c r="Z9" s="17"/>
      <c r="AA9" s="17"/>
      <c r="AB9" s="17"/>
      <c r="AC9" s="17"/>
      <c r="AD9" s="17"/>
      <c r="AE9" s="17"/>
      <c r="AF9" s="17"/>
      <c r="AG9" s="15"/>
    </row>
    <row r="10" spans="1:36" s="1" customFormat="1" ht="15.75" x14ac:dyDescent="0.25">
      <c r="B10" s="17"/>
      <c r="C10" s="18"/>
      <c r="D10" s="18"/>
      <c r="E10" s="18"/>
      <c r="F10" s="18"/>
      <c r="G10" s="18"/>
      <c r="H10" s="18"/>
      <c r="I10" s="18"/>
      <c r="J10" s="18"/>
      <c r="K10" s="18"/>
      <c r="L10" s="18"/>
      <c r="M10" s="17"/>
      <c r="N10" s="17"/>
      <c r="O10" s="17"/>
      <c r="P10" s="17"/>
      <c r="Q10" s="17"/>
      <c r="R10" s="17"/>
      <c r="S10" s="17"/>
      <c r="T10" s="17"/>
      <c r="U10" s="17"/>
      <c r="V10" s="17"/>
      <c r="W10" s="17"/>
      <c r="X10" s="17"/>
      <c r="Y10" s="17"/>
      <c r="Z10" s="17"/>
      <c r="AA10" s="17"/>
      <c r="AB10" s="17"/>
      <c r="AC10" s="17"/>
      <c r="AD10" s="17"/>
      <c r="AE10" s="17"/>
      <c r="AF10" s="17"/>
      <c r="AG10" s="19">
        <f>SUM(B7:AF10)</f>
        <v>0</v>
      </c>
    </row>
    <row r="11" spans="1:36" ht="15.75" x14ac:dyDescent="0.25">
      <c r="A11" s="23" t="s">
        <v>3</v>
      </c>
      <c r="B11" s="17"/>
      <c r="C11" s="18"/>
      <c r="D11" s="18"/>
      <c r="E11" s="18"/>
      <c r="F11" s="18"/>
      <c r="G11" s="18"/>
      <c r="H11" s="18"/>
      <c r="I11" s="18"/>
      <c r="J11" s="18"/>
      <c r="K11" s="18"/>
      <c r="L11" s="18"/>
      <c r="M11" s="17"/>
      <c r="N11" s="17"/>
      <c r="O11" s="17"/>
      <c r="P11" s="17"/>
      <c r="Q11" s="17"/>
      <c r="R11" s="17"/>
      <c r="S11" s="17"/>
      <c r="T11" s="17"/>
      <c r="U11" s="17"/>
      <c r="V11" s="17"/>
      <c r="W11" s="17"/>
      <c r="X11" s="17"/>
      <c r="Y11" s="17"/>
      <c r="Z11" s="17"/>
      <c r="AA11" s="17"/>
      <c r="AB11" s="17"/>
      <c r="AC11" s="17"/>
      <c r="AD11" s="17"/>
      <c r="AE11" s="17"/>
      <c r="AF11" s="17"/>
      <c r="AG11" s="24" t="s">
        <v>3</v>
      </c>
    </row>
    <row r="12" spans="1:36" x14ac:dyDescent="0.2">
      <c r="B12" s="17"/>
      <c r="C12" s="18"/>
      <c r="D12" s="18"/>
      <c r="E12" s="18"/>
      <c r="F12" s="18"/>
      <c r="G12" s="18"/>
      <c r="H12" s="18"/>
      <c r="I12" s="18"/>
      <c r="J12" s="18"/>
      <c r="K12" s="18"/>
      <c r="L12" s="18"/>
      <c r="M12" s="17"/>
      <c r="N12" s="17"/>
      <c r="O12" s="17"/>
      <c r="P12" s="17"/>
      <c r="Q12" s="17"/>
      <c r="R12" s="17"/>
      <c r="S12" s="17"/>
      <c r="T12" s="17"/>
      <c r="U12" s="17"/>
      <c r="V12" s="17"/>
      <c r="W12" s="17"/>
      <c r="X12" s="17"/>
      <c r="Y12" s="17"/>
      <c r="Z12" s="17"/>
      <c r="AA12" s="17"/>
      <c r="AB12" s="17"/>
      <c r="AC12" s="17"/>
      <c r="AD12" s="17"/>
      <c r="AE12" s="17"/>
      <c r="AF12" s="17"/>
    </row>
    <row r="13" spans="1:36" x14ac:dyDescent="0.2">
      <c r="B13" s="17"/>
      <c r="C13" s="18"/>
      <c r="D13" s="18"/>
      <c r="E13" s="18"/>
      <c r="F13" s="18"/>
      <c r="G13" s="18"/>
      <c r="H13" s="18"/>
      <c r="I13" s="18"/>
      <c r="J13" s="18"/>
      <c r="K13" s="18"/>
      <c r="L13" s="18"/>
      <c r="M13" s="17"/>
      <c r="N13" s="17"/>
      <c r="O13" s="17"/>
      <c r="P13" s="17"/>
      <c r="Q13" s="17"/>
      <c r="R13" s="17"/>
      <c r="S13" s="17"/>
      <c r="T13" s="17"/>
      <c r="U13" s="17"/>
      <c r="V13" s="17"/>
      <c r="W13" s="17"/>
      <c r="X13" s="17"/>
      <c r="Y13" s="17"/>
      <c r="Z13" s="17"/>
      <c r="AA13" s="17"/>
      <c r="AB13" s="17"/>
      <c r="AC13" s="17"/>
      <c r="AD13" s="17"/>
      <c r="AE13" s="17"/>
      <c r="AF13" s="17"/>
    </row>
    <row r="14" spans="1:36" x14ac:dyDescent="0.2">
      <c r="B14" s="17"/>
      <c r="C14" s="18"/>
      <c r="D14" s="18"/>
      <c r="E14" s="18"/>
      <c r="F14" s="18"/>
      <c r="G14" s="18"/>
      <c r="H14" s="18"/>
      <c r="I14" s="18"/>
      <c r="J14" s="18"/>
      <c r="K14" s="18"/>
      <c r="L14" s="18"/>
      <c r="M14" s="17"/>
      <c r="N14" s="17"/>
      <c r="O14" s="17"/>
      <c r="P14" s="17"/>
      <c r="Q14" s="17"/>
      <c r="R14" s="17"/>
      <c r="S14" s="17"/>
      <c r="T14" s="17"/>
      <c r="U14" s="17"/>
      <c r="V14" s="17"/>
      <c r="W14" s="17"/>
      <c r="X14" s="17"/>
      <c r="Y14" s="17"/>
      <c r="Z14" s="17"/>
      <c r="AA14" s="17"/>
      <c r="AB14" s="17"/>
      <c r="AC14" s="17"/>
      <c r="AD14" s="17"/>
      <c r="AE14" s="17"/>
      <c r="AF14" s="17"/>
      <c r="AG14" s="19">
        <f>SUM(B11:AF14)</f>
        <v>0</v>
      </c>
    </row>
    <row r="15" spans="1:36" ht="15.75" x14ac:dyDescent="0.25">
      <c r="A15" s="23" t="s">
        <v>2</v>
      </c>
      <c r="B15" s="17"/>
      <c r="C15" s="18"/>
      <c r="D15" s="18"/>
      <c r="E15" s="18"/>
      <c r="F15" s="18"/>
      <c r="G15" s="18"/>
      <c r="H15" s="18"/>
      <c r="I15" s="18"/>
      <c r="J15" s="18"/>
      <c r="K15" s="18"/>
      <c r="L15" s="18"/>
      <c r="M15" s="17"/>
      <c r="N15" s="17"/>
      <c r="O15" s="17"/>
      <c r="P15" s="17"/>
      <c r="Q15" s="17"/>
      <c r="R15" s="17"/>
      <c r="S15" s="17"/>
      <c r="T15" s="17"/>
      <c r="U15" s="17"/>
      <c r="V15" s="17"/>
      <c r="W15" s="17"/>
      <c r="X15" s="17"/>
      <c r="Y15" s="17"/>
      <c r="Z15" s="17"/>
      <c r="AA15" s="17"/>
      <c r="AB15" s="17"/>
      <c r="AC15" s="17"/>
      <c r="AD15" s="17"/>
      <c r="AE15" s="17"/>
      <c r="AF15" s="17"/>
      <c r="AG15" s="24" t="s">
        <v>2</v>
      </c>
    </row>
    <row r="16" spans="1:36" x14ac:dyDescent="0.2">
      <c r="B16" s="17"/>
      <c r="C16" s="18"/>
      <c r="D16" s="18"/>
      <c r="E16" s="18"/>
      <c r="F16" s="18"/>
      <c r="G16" s="18"/>
      <c r="H16" s="18"/>
      <c r="I16" s="18"/>
      <c r="J16" s="18"/>
      <c r="K16" s="18"/>
      <c r="L16" s="18"/>
      <c r="M16" s="17"/>
      <c r="N16" s="17"/>
      <c r="O16" s="17"/>
      <c r="P16" s="17"/>
      <c r="Q16" s="17"/>
      <c r="R16" s="17"/>
      <c r="S16" s="17"/>
      <c r="T16" s="17"/>
      <c r="U16" s="17"/>
      <c r="V16" s="17"/>
      <c r="W16" s="17"/>
      <c r="X16" s="17"/>
      <c r="Y16" s="17"/>
      <c r="Z16" s="17"/>
      <c r="AA16" s="17"/>
      <c r="AB16" s="17"/>
      <c r="AC16" s="17"/>
      <c r="AD16" s="17"/>
      <c r="AE16" s="17"/>
      <c r="AF16" s="17"/>
    </row>
    <row r="17" spans="1:33" x14ac:dyDescent="0.2">
      <c r="B17" s="17"/>
      <c r="C17" s="18"/>
      <c r="D17" s="18"/>
      <c r="E17" s="18"/>
      <c r="F17" s="18"/>
      <c r="G17" s="18"/>
      <c r="H17" s="18"/>
      <c r="I17" s="18"/>
      <c r="J17" s="18"/>
      <c r="K17" s="18"/>
      <c r="L17" s="18"/>
      <c r="M17" s="17"/>
      <c r="N17" s="17"/>
      <c r="O17" s="17"/>
      <c r="P17" s="17"/>
      <c r="Q17" s="17"/>
      <c r="R17" s="17"/>
      <c r="S17" s="17"/>
      <c r="T17" s="17"/>
      <c r="U17" s="17"/>
      <c r="V17" s="17"/>
      <c r="W17" s="17"/>
      <c r="X17" s="17"/>
      <c r="Y17" s="17"/>
      <c r="Z17" s="17"/>
      <c r="AA17" s="17"/>
      <c r="AB17" s="17"/>
      <c r="AC17" s="17"/>
      <c r="AD17" s="17"/>
      <c r="AE17" s="17"/>
      <c r="AF17" s="17"/>
    </row>
    <row r="18" spans="1:33" x14ac:dyDescent="0.2">
      <c r="B18" s="17"/>
      <c r="C18" s="18"/>
      <c r="D18" s="18"/>
      <c r="E18" s="18"/>
      <c r="F18" s="18"/>
      <c r="G18" s="18"/>
      <c r="H18" s="18"/>
      <c r="I18" s="18"/>
      <c r="J18" s="18"/>
      <c r="K18" s="18"/>
      <c r="L18" s="18"/>
      <c r="M18" s="17"/>
      <c r="N18" s="17"/>
      <c r="O18" s="17"/>
      <c r="P18" s="17"/>
      <c r="Q18" s="17"/>
      <c r="R18" s="17"/>
      <c r="S18" s="17"/>
      <c r="T18" s="17"/>
      <c r="U18" s="17"/>
      <c r="V18" s="17"/>
      <c r="W18" s="17"/>
      <c r="X18" s="17"/>
      <c r="Y18" s="17"/>
      <c r="Z18" s="17"/>
      <c r="AA18" s="17"/>
      <c r="AB18" s="17"/>
      <c r="AC18" s="17"/>
      <c r="AD18" s="17"/>
      <c r="AE18" s="17"/>
      <c r="AF18" s="17"/>
    </row>
    <row r="19" spans="1:33" x14ac:dyDescent="0.2">
      <c r="B19" s="17"/>
      <c r="C19" s="18"/>
      <c r="D19" s="18"/>
      <c r="E19" s="18"/>
      <c r="F19" s="18"/>
      <c r="G19" s="18"/>
      <c r="H19" s="18"/>
      <c r="I19" s="18"/>
      <c r="J19" s="18"/>
      <c r="K19" s="18"/>
      <c r="L19" s="18"/>
      <c r="M19" s="17"/>
      <c r="N19" s="17"/>
      <c r="O19" s="17"/>
      <c r="P19" s="17"/>
      <c r="Q19" s="17"/>
      <c r="R19" s="17"/>
      <c r="S19" s="17"/>
      <c r="T19" s="17"/>
      <c r="U19" s="17"/>
      <c r="V19" s="17"/>
      <c r="W19" s="17"/>
      <c r="X19" s="17"/>
      <c r="Y19" s="17"/>
      <c r="Z19" s="17"/>
      <c r="AA19" s="17"/>
      <c r="AB19" s="17"/>
      <c r="AC19" s="17"/>
      <c r="AD19" s="17"/>
      <c r="AE19" s="17"/>
      <c r="AF19" s="17"/>
      <c r="AG19" s="19">
        <f>SUM(B15:AF19)</f>
        <v>0</v>
      </c>
    </row>
    <row r="20" spans="1:33" ht="15.75" x14ac:dyDescent="0.25">
      <c r="A20" s="24" t="s">
        <v>4</v>
      </c>
      <c r="B20" s="17"/>
      <c r="C20" s="18"/>
      <c r="D20" s="18"/>
      <c r="E20" s="18"/>
      <c r="F20" s="18"/>
      <c r="G20" s="18"/>
      <c r="H20" s="18"/>
      <c r="I20" s="18"/>
      <c r="J20" s="18"/>
      <c r="K20" s="18"/>
      <c r="L20" s="18"/>
      <c r="M20" s="17"/>
      <c r="N20" s="17"/>
      <c r="O20" s="17"/>
      <c r="P20" s="17"/>
      <c r="Q20" s="17"/>
      <c r="R20" s="17"/>
      <c r="S20" s="17"/>
      <c r="T20" s="17"/>
      <c r="U20" s="17"/>
      <c r="V20" s="17"/>
      <c r="W20" s="17"/>
      <c r="X20" s="17"/>
      <c r="Y20" s="17"/>
      <c r="Z20" s="17"/>
      <c r="AA20" s="17"/>
      <c r="AB20" s="17"/>
      <c r="AC20" s="17"/>
      <c r="AD20" s="17"/>
      <c r="AE20" s="17"/>
      <c r="AF20" s="17"/>
      <c r="AG20" s="24" t="s">
        <v>4</v>
      </c>
    </row>
    <row r="21" spans="1:33" x14ac:dyDescent="0.2">
      <c r="B21" s="17"/>
      <c r="C21" s="18"/>
      <c r="D21" s="18"/>
      <c r="E21" s="18"/>
      <c r="F21" s="18"/>
      <c r="G21" s="18"/>
      <c r="H21" s="18"/>
      <c r="I21" s="18"/>
      <c r="J21" s="18"/>
      <c r="K21" s="18"/>
      <c r="L21" s="18"/>
      <c r="M21" s="17"/>
      <c r="N21" s="17"/>
      <c r="O21" s="17"/>
      <c r="P21" s="17"/>
      <c r="Q21" s="17"/>
      <c r="R21" s="17"/>
      <c r="S21" s="17"/>
      <c r="T21" s="17"/>
      <c r="U21" s="17"/>
      <c r="V21" s="17"/>
      <c r="W21" s="17"/>
      <c r="X21" s="17"/>
      <c r="Y21" s="17"/>
      <c r="Z21" s="17"/>
      <c r="AA21" s="17"/>
      <c r="AB21" s="17"/>
      <c r="AC21" s="17"/>
      <c r="AD21" s="17"/>
      <c r="AE21" s="17"/>
      <c r="AF21" s="17"/>
    </row>
    <row r="22" spans="1:33" x14ac:dyDescent="0.2">
      <c r="B22" s="17"/>
      <c r="C22" s="18"/>
      <c r="D22" s="18"/>
      <c r="E22" s="18"/>
      <c r="F22" s="18"/>
      <c r="G22" s="18"/>
      <c r="H22" s="18"/>
      <c r="I22" s="18"/>
      <c r="J22" s="18"/>
      <c r="K22" s="18"/>
      <c r="L22" s="18"/>
      <c r="M22" s="17"/>
      <c r="N22" s="17"/>
      <c r="O22" s="17"/>
      <c r="P22" s="17"/>
      <c r="Q22" s="17"/>
      <c r="R22" s="17"/>
      <c r="S22" s="17"/>
      <c r="T22" s="17"/>
      <c r="U22" s="17"/>
      <c r="V22" s="17"/>
      <c r="W22" s="17"/>
      <c r="X22" s="17"/>
      <c r="Y22" s="17"/>
      <c r="Z22" s="17"/>
      <c r="AA22" s="17"/>
      <c r="AB22" s="17"/>
      <c r="AC22" s="17"/>
      <c r="AD22" s="17"/>
      <c r="AE22" s="17"/>
      <c r="AF22" s="17"/>
    </row>
    <row r="23" spans="1:33" x14ac:dyDescent="0.2">
      <c r="B23" s="17"/>
      <c r="C23" s="18"/>
      <c r="D23" s="18"/>
      <c r="E23" s="18"/>
      <c r="F23" s="18"/>
      <c r="G23" s="18"/>
      <c r="H23" s="18"/>
      <c r="I23" s="18"/>
      <c r="J23" s="18"/>
      <c r="K23" s="18"/>
      <c r="L23" s="18"/>
      <c r="M23" s="17"/>
      <c r="N23" s="17"/>
      <c r="O23" s="17"/>
      <c r="P23" s="17"/>
      <c r="Q23" s="17"/>
      <c r="R23" s="17"/>
      <c r="S23" s="17"/>
      <c r="T23" s="17"/>
      <c r="U23" s="17"/>
      <c r="V23" s="17"/>
      <c r="W23" s="17"/>
      <c r="X23" s="17"/>
      <c r="Y23" s="17"/>
      <c r="Z23" s="17"/>
      <c r="AA23" s="17"/>
      <c r="AB23" s="17"/>
      <c r="AC23" s="17"/>
      <c r="AD23" s="17"/>
      <c r="AE23" s="17"/>
      <c r="AF23" s="17"/>
    </row>
    <row r="24" spans="1:33" x14ac:dyDescent="0.2">
      <c r="B24" s="17"/>
      <c r="C24" s="18"/>
      <c r="D24" s="18"/>
      <c r="E24" s="18"/>
      <c r="F24" s="18"/>
      <c r="G24" s="18"/>
      <c r="H24" s="18"/>
      <c r="I24" s="18"/>
      <c r="J24" s="18"/>
      <c r="K24" s="18"/>
      <c r="L24" s="18"/>
      <c r="M24" s="17"/>
      <c r="N24" s="17"/>
      <c r="O24" s="17"/>
      <c r="P24" s="17"/>
      <c r="Q24" s="17"/>
      <c r="R24" s="17"/>
      <c r="S24" s="17"/>
      <c r="T24" s="17"/>
      <c r="U24" s="17"/>
      <c r="V24" s="17"/>
      <c r="W24" s="17"/>
      <c r="X24" s="17"/>
      <c r="Y24" s="17"/>
      <c r="Z24" s="17"/>
      <c r="AA24" s="17"/>
      <c r="AB24" s="17"/>
      <c r="AC24" s="17"/>
      <c r="AD24" s="17"/>
      <c r="AE24" s="17"/>
      <c r="AF24" s="17"/>
      <c r="AG24" s="19">
        <f>SUM(B20:AF24)</f>
        <v>0</v>
      </c>
    </row>
    <row r="25" spans="1:33" ht="15.75" x14ac:dyDescent="0.25">
      <c r="A25" s="23" t="s">
        <v>20</v>
      </c>
      <c r="B25" s="17"/>
      <c r="C25" s="18"/>
      <c r="D25" s="18"/>
      <c r="E25" s="18"/>
      <c r="F25" s="18"/>
      <c r="G25" s="18"/>
      <c r="H25" s="18"/>
      <c r="I25" s="18"/>
      <c r="J25" s="18"/>
      <c r="K25" s="18"/>
      <c r="L25" s="18"/>
      <c r="M25" s="17"/>
      <c r="N25" s="17"/>
      <c r="O25" s="17"/>
      <c r="P25" s="17"/>
      <c r="Q25" s="17"/>
      <c r="R25" s="17"/>
      <c r="S25" s="17"/>
      <c r="T25" s="17"/>
      <c r="U25" s="17"/>
      <c r="V25" s="17"/>
      <c r="W25" s="17"/>
      <c r="X25" s="17"/>
      <c r="Y25" s="17"/>
      <c r="Z25" s="17"/>
      <c r="AA25" s="17"/>
      <c r="AB25" s="17"/>
      <c r="AC25" s="17"/>
      <c r="AD25" s="17"/>
      <c r="AE25" s="17"/>
      <c r="AF25" s="17"/>
      <c r="AG25" s="24" t="s">
        <v>20</v>
      </c>
    </row>
    <row r="26" spans="1:33" x14ac:dyDescent="0.2">
      <c r="B26" s="17"/>
      <c r="C26" s="18"/>
      <c r="D26" s="18"/>
      <c r="E26" s="18"/>
      <c r="F26" s="18"/>
      <c r="G26" s="18"/>
      <c r="H26" s="18"/>
      <c r="I26" s="18"/>
      <c r="J26" s="18"/>
      <c r="K26" s="18"/>
      <c r="L26" s="18"/>
      <c r="M26" s="17"/>
      <c r="N26" s="17"/>
      <c r="O26" s="17"/>
      <c r="P26" s="17"/>
      <c r="Q26" s="17"/>
      <c r="R26" s="17"/>
      <c r="S26" s="17"/>
      <c r="T26" s="17"/>
      <c r="U26" s="17"/>
      <c r="V26" s="17"/>
      <c r="W26" s="17"/>
      <c r="X26" s="17"/>
      <c r="Y26" s="17"/>
      <c r="Z26" s="17"/>
      <c r="AA26" s="17"/>
      <c r="AB26" s="17"/>
      <c r="AC26" s="17"/>
      <c r="AD26" s="17"/>
      <c r="AE26" s="17"/>
      <c r="AF26" s="17"/>
    </row>
    <row r="27" spans="1:33" x14ac:dyDescent="0.2">
      <c r="B27" s="17"/>
      <c r="C27" s="18"/>
      <c r="D27" s="18"/>
      <c r="E27" s="18"/>
      <c r="F27" s="18"/>
      <c r="G27" s="18"/>
      <c r="H27" s="18"/>
      <c r="I27" s="18"/>
      <c r="J27" s="18"/>
      <c r="K27" s="18"/>
      <c r="L27" s="18"/>
      <c r="M27" s="17"/>
      <c r="N27" s="17"/>
      <c r="O27" s="17"/>
      <c r="P27" s="17"/>
      <c r="Q27" s="17"/>
      <c r="R27" s="17"/>
      <c r="S27" s="17"/>
      <c r="T27" s="17"/>
      <c r="U27" s="17"/>
      <c r="V27" s="17"/>
      <c r="W27" s="17"/>
      <c r="X27" s="17"/>
      <c r="Y27" s="17"/>
      <c r="Z27" s="17"/>
      <c r="AA27" s="17"/>
      <c r="AB27" s="17"/>
      <c r="AC27" s="17"/>
      <c r="AD27" s="17"/>
      <c r="AE27" s="17"/>
      <c r="AF27" s="17"/>
    </row>
    <row r="28" spans="1:33" x14ac:dyDescent="0.2">
      <c r="B28" s="17"/>
      <c r="C28" s="18"/>
      <c r="D28" s="18"/>
      <c r="E28" s="18"/>
      <c r="F28" s="18"/>
      <c r="G28" s="18"/>
      <c r="H28" s="18"/>
      <c r="I28" s="18"/>
      <c r="J28" s="18"/>
      <c r="K28" s="18"/>
      <c r="L28" s="18"/>
      <c r="M28" s="17"/>
      <c r="N28" s="17"/>
      <c r="O28" s="17"/>
      <c r="P28" s="17"/>
      <c r="Q28" s="17"/>
      <c r="R28" s="17"/>
      <c r="S28" s="17"/>
      <c r="T28" s="17"/>
      <c r="U28" s="17"/>
      <c r="V28" s="17"/>
      <c r="W28" s="17"/>
      <c r="X28" s="17"/>
      <c r="Y28" s="17"/>
      <c r="Z28" s="17"/>
      <c r="AA28" s="17"/>
      <c r="AB28" s="17"/>
      <c r="AC28" s="17"/>
      <c r="AD28" s="17"/>
      <c r="AE28" s="17"/>
      <c r="AF28" s="17"/>
    </row>
    <row r="29" spans="1:33" x14ac:dyDescent="0.2">
      <c r="B29" s="17"/>
      <c r="C29" s="18"/>
      <c r="D29" s="18"/>
      <c r="E29" s="18"/>
      <c r="F29" s="18"/>
      <c r="G29" s="18"/>
      <c r="H29" s="18"/>
      <c r="I29" s="18"/>
      <c r="J29" s="18"/>
      <c r="K29" s="18"/>
      <c r="L29" s="18"/>
      <c r="M29" s="17"/>
      <c r="N29" s="17"/>
      <c r="O29" s="17"/>
      <c r="P29" s="17"/>
      <c r="Q29" s="17"/>
      <c r="R29" s="17"/>
      <c r="S29" s="17"/>
      <c r="T29" s="17"/>
      <c r="U29" s="17"/>
      <c r="V29" s="17"/>
      <c r="W29" s="17"/>
      <c r="X29" s="17"/>
      <c r="Y29" s="17"/>
      <c r="Z29" s="17"/>
      <c r="AA29" s="17"/>
      <c r="AB29" s="17"/>
      <c r="AC29" s="17"/>
      <c r="AD29" s="17"/>
      <c r="AE29" s="17"/>
      <c r="AF29" s="17"/>
      <c r="AG29" s="19">
        <f>SUM(B25:AF29)</f>
        <v>0</v>
      </c>
    </row>
    <row r="30" spans="1:33" ht="15.75" x14ac:dyDescent="0.25">
      <c r="A30" s="23" t="s">
        <v>5</v>
      </c>
      <c r="B30" s="17"/>
      <c r="C30" s="18"/>
      <c r="D30" s="18"/>
      <c r="E30" s="18"/>
      <c r="F30" s="18"/>
      <c r="G30" s="18"/>
      <c r="H30" s="18"/>
      <c r="I30" s="18"/>
      <c r="J30" s="18"/>
      <c r="K30" s="18"/>
      <c r="L30" s="18"/>
      <c r="M30" s="17"/>
      <c r="N30" s="17"/>
      <c r="O30" s="17"/>
      <c r="P30" s="17"/>
      <c r="Q30" s="17"/>
      <c r="R30" s="17"/>
      <c r="S30" s="17"/>
      <c r="T30" s="17"/>
      <c r="U30" s="17"/>
      <c r="V30" s="17"/>
      <c r="W30" s="17"/>
      <c r="X30" s="17"/>
      <c r="Y30" s="17"/>
      <c r="Z30" s="17"/>
      <c r="AA30" s="17"/>
      <c r="AB30" s="17"/>
      <c r="AC30" s="17"/>
      <c r="AD30" s="17"/>
      <c r="AE30" s="17"/>
      <c r="AF30" s="17"/>
      <c r="AG30" s="24" t="s">
        <v>5</v>
      </c>
    </row>
    <row r="31" spans="1:33" x14ac:dyDescent="0.2">
      <c r="B31" s="17"/>
      <c r="C31" s="18"/>
      <c r="D31" s="18"/>
      <c r="E31" s="18"/>
      <c r="F31" s="18"/>
      <c r="G31" s="18"/>
      <c r="H31" s="18"/>
      <c r="I31" s="18"/>
      <c r="J31" s="18"/>
      <c r="K31" s="18"/>
      <c r="L31" s="18"/>
      <c r="M31" s="17"/>
      <c r="N31" s="17"/>
      <c r="O31" s="17"/>
      <c r="P31" s="17"/>
      <c r="Q31" s="17"/>
      <c r="R31" s="17"/>
      <c r="S31" s="17"/>
      <c r="T31" s="17"/>
      <c r="U31" s="17"/>
      <c r="V31" s="17"/>
      <c r="W31" s="17"/>
      <c r="X31" s="17"/>
      <c r="Y31" s="17"/>
      <c r="Z31" s="17"/>
      <c r="AA31" s="17"/>
      <c r="AB31" s="17"/>
      <c r="AC31" s="17"/>
      <c r="AD31" s="17"/>
      <c r="AE31" s="17"/>
      <c r="AF31" s="17"/>
    </row>
    <row r="32" spans="1:33" x14ac:dyDescent="0.2">
      <c r="B32" s="17"/>
      <c r="C32" s="18"/>
      <c r="D32" s="18"/>
      <c r="E32" s="18"/>
      <c r="F32" s="18"/>
      <c r="G32" s="18"/>
      <c r="H32" s="18"/>
      <c r="I32" s="18"/>
      <c r="J32" s="18"/>
      <c r="K32" s="18"/>
      <c r="L32" s="18"/>
      <c r="M32" s="17"/>
      <c r="N32" s="17"/>
      <c r="O32" s="17"/>
      <c r="P32" s="17"/>
      <c r="Q32" s="17"/>
      <c r="R32" s="17"/>
      <c r="S32" s="17"/>
      <c r="T32" s="17"/>
      <c r="U32" s="17"/>
      <c r="V32" s="17"/>
      <c r="W32" s="17"/>
      <c r="X32" s="17"/>
      <c r="Y32" s="17"/>
      <c r="Z32" s="17"/>
      <c r="AA32" s="17"/>
      <c r="AB32" s="17"/>
      <c r="AC32" s="17"/>
      <c r="AD32" s="17"/>
      <c r="AE32" s="17"/>
      <c r="AF32" s="17"/>
    </row>
    <row r="33" spans="1:33" x14ac:dyDescent="0.2">
      <c r="B33" s="17"/>
      <c r="C33" s="18"/>
      <c r="D33" s="18"/>
      <c r="E33" s="18"/>
      <c r="F33" s="18"/>
      <c r="G33" s="18"/>
      <c r="H33" s="18"/>
      <c r="I33" s="18"/>
      <c r="J33" s="18"/>
      <c r="K33" s="18"/>
      <c r="L33" s="18"/>
      <c r="M33" s="17"/>
      <c r="N33" s="17"/>
      <c r="O33" s="17"/>
      <c r="P33" s="17"/>
      <c r="Q33" s="17"/>
      <c r="R33" s="17"/>
      <c r="S33" s="17"/>
      <c r="T33" s="17"/>
      <c r="U33" s="17"/>
      <c r="V33" s="17"/>
      <c r="W33" s="17"/>
      <c r="X33" s="17"/>
      <c r="Y33" s="17"/>
      <c r="Z33" s="17"/>
      <c r="AA33" s="17"/>
      <c r="AB33" s="17"/>
      <c r="AC33" s="17"/>
      <c r="AD33" s="17"/>
      <c r="AE33" s="17"/>
      <c r="AF33" s="17"/>
    </row>
    <row r="34" spans="1:33" x14ac:dyDescent="0.2">
      <c r="B34" s="17"/>
      <c r="C34" s="18"/>
      <c r="D34" s="18"/>
      <c r="E34" s="18"/>
      <c r="F34" s="18"/>
      <c r="G34" s="18"/>
      <c r="H34" s="18"/>
      <c r="I34" s="18"/>
      <c r="J34" s="18"/>
      <c r="K34" s="18"/>
      <c r="L34" s="18"/>
      <c r="M34" s="17"/>
      <c r="N34" s="17"/>
      <c r="O34" s="17"/>
      <c r="P34" s="17"/>
      <c r="Q34" s="17"/>
      <c r="R34" s="17"/>
      <c r="S34" s="17"/>
      <c r="T34" s="17"/>
      <c r="U34" s="17"/>
      <c r="V34" s="17"/>
      <c r="W34" s="17"/>
      <c r="X34" s="17"/>
      <c r="Y34" s="17"/>
      <c r="Z34" s="17"/>
      <c r="AA34" s="17"/>
      <c r="AB34" s="17"/>
      <c r="AC34" s="17"/>
      <c r="AD34" s="17"/>
      <c r="AE34" s="17"/>
      <c r="AF34" s="17"/>
      <c r="AG34" s="19">
        <f>SUM(B30:AF34)</f>
        <v>0</v>
      </c>
    </row>
    <row r="35" spans="1:33" ht="15.75" x14ac:dyDescent="0.25">
      <c r="A35" s="22" t="s">
        <v>12</v>
      </c>
      <c r="B35" s="17"/>
      <c r="C35" s="18"/>
      <c r="D35" s="18"/>
      <c r="E35" s="18"/>
      <c r="F35" s="18"/>
      <c r="G35" s="18"/>
      <c r="H35" s="18"/>
      <c r="I35" s="18"/>
      <c r="J35" s="18"/>
      <c r="K35" s="18"/>
      <c r="L35" s="18"/>
      <c r="M35" s="17"/>
      <c r="N35" s="17"/>
      <c r="O35" s="17"/>
      <c r="P35" s="17"/>
      <c r="Q35" s="17"/>
      <c r="R35" s="17"/>
      <c r="S35" s="17"/>
      <c r="T35" s="17"/>
      <c r="U35" s="17"/>
      <c r="V35" s="17"/>
      <c r="W35" s="17"/>
      <c r="X35" s="17"/>
      <c r="Y35" s="17"/>
      <c r="Z35" s="17"/>
      <c r="AA35" s="17"/>
      <c r="AB35" s="17"/>
      <c r="AC35" s="17"/>
      <c r="AD35" s="17"/>
      <c r="AE35" s="17"/>
      <c r="AF35" s="17"/>
      <c r="AG35" s="26" t="s">
        <v>12</v>
      </c>
    </row>
    <row r="36" spans="1:33" ht="15.75" x14ac:dyDescent="0.25">
      <c r="A36" s="8"/>
      <c r="B36" s="17"/>
      <c r="C36" s="18"/>
      <c r="D36" s="18"/>
      <c r="E36" s="18"/>
      <c r="F36" s="18"/>
      <c r="G36" s="18"/>
      <c r="H36" s="18"/>
      <c r="I36" s="18"/>
      <c r="J36" s="18"/>
      <c r="K36" s="18"/>
      <c r="L36" s="18"/>
      <c r="M36" s="17"/>
      <c r="N36" s="17"/>
      <c r="O36" s="17"/>
      <c r="P36" s="17"/>
      <c r="Q36" s="17"/>
      <c r="R36" s="17"/>
      <c r="S36" s="17"/>
      <c r="T36" s="17"/>
      <c r="U36" s="17"/>
      <c r="V36" s="17"/>
      <c r="W36" s="17"/>
      <c r="X36" s="17"/>
      <c r="Y36" s="17"/>
      <c r="Z36" s="17"/>
      <c r="AA36" s="17"/>
      <c r="AB36" s="17"/>
      <c r="AC36" s="17"/>
      <c r="AD36" s="17"/>
      <c r="AE36" s="17"/>
      <c r="AF36" s="17"/>
      <c r="AG36" s="20"/>
    </row>
    <row r="37" spans="1:33" x14ac:dyDescent="0.2">
      <c r="B37" s="17"/>
      <c r="C37" s="18"/>
      <c r="D37" s="18"/>
      <c r="E37" s="18"/>
      <c r="F37" s="18"/>
      <c r="G37" s="18"/>
      <c r="H37" s="18"/>
      <c r="I37" s="18"/>
      <c r="J37" s="18"/>
      <c r="K37" s="18"/>
      <c r="L37" s="18"/>
      <c r="M37" s="17"/>
      <c r="N37" s="17"/>
      <c r="O37" s="17"/>
      <c r="P37" s="17"/>
      <c r="Q37" s="17"/>
      <c r="R37" s="17"/>
      <c r="S37" s="17"/>
      <c r="T37" s="17"/>
      <c r="U37" s="17"/>
      <c r="V37" s="17"/>
      <c r="W37" s="17"/>
      <c r="X37" s="17"/>
      <c r="Y37" s="17"/>
      <c r="Z37" s="17"/>
      <c r="AA37" s="17"/>
      <c r="AB37" s="17"/>
      <c r="AC37" s="17"/>
      <c r="AD37" s="17"/>
      <c r="AE37" s="17"/>
      <c r="AF37" s="17"/>
      <c r="AG37" s="19">
        <f>SUM(B35:AF37)</f>
        <v>0</v>
      </c>
    </row>
    <row r="38" spans="1:33" ht="15.75" x14ac:dyDescent="0.25">
      <c r="A38" s="22" t="s">
        <v>12</v>
      </c>
      <c r="B38" s="17"/>
      <c r="C38" s="18"/>
      <c r="D38" s="18"/>
      <c r="E38" s="18"/>
      <c r="F38" s="18"/>
      <c r="G38" s="18"/>
      <c r="H38" s="18"/>
      <c r="I38" s="18"/>
      <c r="J38" s="18"/>
      <c r="K38" s="18"/>
      <c r="L38" s="18"/>
      <c r="M38" s="17"/>
      <c r="N38" s="17"/>
      <c r="O38" s="17"/>
      <c r="P38" s="17"/>
      <c r="Q38" s="17"/>
      <c r="R38" s="17"/>
      <c r="S38" s="17"/>
      <c r="T38" s="17"/>
      <c r="U38" s="17"/>
      <c r="V38" s="17"/>
      <c r="W38" s="17"/>
      <c r="X38" s="17"/>
      <c r="Y38" s="17"/>
      <c r="Z38" s="17"/>
      <c r="AA38" s="17"/>
      <c r="AB38" s="17"/>
      <c r="AC38" s="17"/>
      <c r="AD38" s="17"/>
      <c r="AE38" s="17"/>
      <c r="AF38" s="17"/>
      <c r="AG38" s="26" t="s">
        <v>12</v>
      </c>
    </row>
    <row r="39" spans="1:33" x14ac:dyDescent="0.2">
      <c r="B39" s="17"/>
      <c r="C39" s="18"/>
      <c r="D39" s="18"/>
      <c r="E39" s="18"/>
      <c r="F39" s="18"/>
      <c r="G39" s="18"/>
      <c r="H39" s="18"/>
      <c r="I39" s="18"/>
      <c r="J39" s="18"/>
      <c r="K39" s="18"/>
      <c r="L39" s="18"/>
      <c r="M39" s="17"/>
      <c r="N39" s="17"/>
      <c r="O39" s="17"/>
      <c r="P39" s="17"/>
      <c r="Q39" s="17"/>
      <c r="R39" s="17"/>
      <c r="S39" s="17"/>
      <c r="T39" s="17"/>
      <c r="U39" s="17"/>
      <c r="V39" s="17"/>
      <c r="W39" s="17"/>
      <c r="X39" s="17"/>
      <c r="Y39" s="17"/>
      <c r="Z39" s="17"/>
      <c r="AA39" s="17"/>
      <c r="AB39" s="17"/>
      <c r="AC39" s="17"/>
      <c r="AD39" s="17"/>
      <c r="AE39" s="17"/>
      <c r="AF39" s="17"/>
    </row>
    <row r="40" spans="1:33" x14ac:dyDescent="0.2">
      <c r="B40" s="17"/>
      <c r="C40" s="18"/>
      <c r="D40" s="18"/>
      <c r="E40" s="18"/>
      <c r="F40" s="18"/>
      <c r="G40" s="18"/>
      <c r="H40" s="18"/>
      <c r="I40" s="18"/>
      <c r="J40" s="18"/>
      <c r="K40" s="18"/>
      <c r="L40" s="18"/>
      <c r="M40" s="17"/>
      <c r="N40" s="17"/>
      <c r="O40" s="17"/>
      <c r="P40" s="17"/>
      <c r="Q40" s="17"/>
      <c r="R40" s="17"/>
      <c r="S40" s="17"/>
      <c r="T40" s="17"/>
      <c r="U40" s="17"/>
      <c r="V40" s="17"/>
      <c r="W40" s="17"/>
      <c r="X40" s="17"/>
      <c r="Y40" s="17"/>
      <c r="Z40" s="17"/>
      <c r="AA40" s="17"/>
      <c r="AB40" s="17"/>
      <c r="AC40" s="17"/>
      <c r="AD40" s="17"/>
      <c r="AE40" s="17"/>
      <c r="AF40" s="17"/>
      <c r="AG40" s="19">
        <f>SUM(B38:AF40)</f>
        <v>0</v>
      </c>
    </row>
    <row r="41" spans="1:33" ht="15.75" x14ac:dyDescent="0.25">
      <c r="A41" s="24" t="s">
        <v>388</v>
      </c>
      <c r="B41" s="17"/>
      <c r="C41" s="18"/>
      <c r="D41" s="18"/>
      <c r="E41" s="18"/>
      <c r="F41" s="18"/>
      <c r="G41" s="18"/>
      <c r="H41" s="18"/>
      <c r="I41" s="18"/>
      <c r="J41" s="18"/>
      <c r="K41" s="18"/>
      <c r="L41" s="18"/>
      <c r="M41" s="17"/>
      <c r="N41" s="17"/>
      <c r="O41" s="17"/>
      <c r="P41" s="17"/>
      <c r="Q41" s="17"/>
      <c r="R41" s="17"/>
      <c r="S41" s="17"/>
      <c r="T41" s="17"/>
      <c r="U41" s="17"/>
      <c r="V41" s="17"/>
      <c r="W41" s="17"/>
      <c r="X41" s="17"/>
      <c r="Y41" s="17"/>
      <c r="Z41" s="17"/>
      <c r="AA41" s="17"/>
      <c r="AB41" s="17"/>
      <c r="AC41" s="17"/>
      <c r="AD41" s="17"/>
      <c r="AE41" s="17"/>
      <c r="AF41" s="17"/>
      <c r="AG41" s="24" t="s">
        <v>388</v>
      </c>
    </row>
    <row r="42" spans="1:33" x14ac:dyDescent="0.2">
      <c r="B42" s="17"/>
      <c r="C42" s="18"/>
      <c r="D42" s="18"/>
      <c r="E42" s="18"/>
      <c r="F42" s="18"/>
      <c r="G42" s="18"/>
      <c r="H42" s="18"/>
      <c r="I42" s="18"/>
      <c r="J42" s="18"/>
      <c r="K42" s="18"/>
      <c r="L42" s="18"/>
      <c r="M42" s="17"/>
      <c r="N42" s="17"/>
      <c r="O42" s="17"/>
      <c r="P42" s="17"/>
      <c r="Q42" s="17"/>
      <c r="R42" s="17"/>
      <c r="S42" s="17"/>
      <c r="T42" s="17"/>
      <c r="U42" s="17"/>
      <c r="V42" s="17"/>
      <c r="W42" s="17"/>
      <c r="X42" s="17"/>
      <c r="Y42" s="17"/>
      <c r="Z42" s="17"/>
      <c r="AA42" s="17"/>
      <c r="AB42" s="17"/>
      <c r="AC42" s="17"/>
      <c r="AD42" s="17"/>
      <c r="AE42" s="17"/>
      <c r="AF42" s="17"/>
    </row>
    <row r="43" spans="1:33" x14ac:dyDescent="0.2">
      <c r="B43" s="17"/>
      <c r="C43" s="18"/>
      <c r="D43" s="18"/>
      <c r="E43" s="18"/>
      <c r="F43" s="18"/>
      <c r="G43" s="18"/>
      <c r="H43" s="18"/>
      <c r="I43" s="18"/>
      <c r="J43" s="18"/>
      <c r="K43" s="18"/>
      <c r="L43" s="18"/>
      <c r="M43" s="17"/>
      <c r="N43" s="17"/>
      <c r="O43" s="17"/>
      <c r="P43" s="17"/>
      <c r="Q43" s="17"/>
      <c r="R43" s="17"/>
      <c r="S43" s="17"/>
      <c r="T43" s="17"/>
      <c r="U43" s="17"/>
      <c r="V43" s="17"/>
      <c r="W43" s="17"/>
      <c r="X43" s="17"/>
      <c r="Y43" s="17"/>
      <c r="Z43" s="17"/>
      <c r="AA43" s="17"/>
      <c r="AB43" s="17"/>
      <c r="AC43" s="17"/>
      <c r="AD43" s="17"/>
      <c r="AE43" s="17"/>
      <c r="AF43" s="17"/>
    </row>
    <row r="44" spans="1:33" x14ac:dyDescent="0.2">
      <c r="B44" s="17"/>
      <c r="C44" s="18"/>
      <c r="D44" s="18"/>
      <c r="E44" s="18"/>
      <c r="F44" s="18"/>
      <c r="G44" s="18"/>
      <c r="H44" s="18"/>
      <c r="I44" s="18"/>
      <c r="J44" s="18"/>
      <c r="K44" s="18"/>
      <c r="L44" s="18"/>
      <c r="M44" s="17"/>
      <c r="N44" s="17"/>
      <c r="O44" s="17"/>
      <c r="P44" s="17"/>
      <c r="Q44" s="17"/>
      <c r="R44" s="17"/>
      <c r="S44" s="17"/>
      <c r="T44" s="17"/>
      <c r="U44" s="17"/>
      <c r="V44" s="17"/>
      <c r="W44" s="17"/>
      <c r="X44" s="17"/>
      <c r="Y44" s="17"/>
      <c r="Z44" s="17"/>
      <c r="AA44" s="17"/>
      <c r="AB44" s="17"/>
      <c r="AC44" s="17"/>
      <c r="AD44" s="17"/>
      <c r="AE44" s="17"/>
      <c r="AF44" s="17"/>
      <c r="AG44" s="19">
        <f>SUM(B41:AF44)</f>
        <v>0</v>
      </c>
    </row>
    <row r="45" spans="1:33" s="15" customFormat="1" ht="15.75" x14ac:dyDescent="0.25">
      <c r="A45" s="24" t="s">
        <v>19</v>
      </c>
      <c r="B45" s="25">
        <f>SUM(B2:B44)</f>
        <v>0</v>
      </c>
      <c r="C45" s="25">
        <f t="shared" ref="C45:AA45" si="0">SUM(C2:C44)</f>
        <v>0</v>
      </c>
      <c r="D45" s="25">
        <f t="shared" si="0"/>
        <v>0</v>
      </c>
      <c r="E45" s="25">
        <f t="shared" si="0"/>
        <v>0</v>
      </c>
      <c r="F45" s="25">
        <f t="shared" si="0"/>
        <v>0</v>
      </c>
      <c r="G45" s="25">
        <f t="shared" si="0"/>
        <v>0</v>
      </c>
      <c r="H45" s="25">
        <f t="shared" si="0"/>
        <v>0</v>
      </c>
      <c r="I45" s="25">
        <f t="shared" si="0"/>
        <v>0</v>
      </c>
      <c r="J45" s="25">
        <f t="shared" si="0"/>
        <v>0</v>
      </c>
      <c r="K45" s="25">
        <f t="shared" si="0"/>
        <v>0</v>
      </c>
      <c r="L45" s="25">
        <f t="shared" si="0"/>
        <v>0</v>
      </c>
      <c r="M45" s="25">
        <f t="shared" si="0"/>
        <v>0</v>
      </c>
      <c r="N45" s="25">
        <f t="shared" si="0"/>
        <v>0</v>
      </c>
      <c r="O45" s="25">
        <f t="shared" si="0"/>
        <v>0</v>
      </c>
      <c r="P45" s="25">
        <f t="shared" si="0"/>
        <v>0</v>
      </c>
      <c r="Q45" s="25">
        <f t="shared" si="0"/>
        <v>0</v>
      </c>
      <c r="R45" s="25">
        <f t="shared" si="0"/>
        <v>0</v>
      </c>
      <c r="S45" s="25">
        <f t="shared" si="0"/>
        <v>0</v>
      </c>
      <c r="T45" s="25">
        <f t="shared" si="0"/>
        <v>0</v>
      </c>
      <c r="U45" s="25">
        <f t="shared" si="0"/>
        <v>0</v>
      </c>
      <c r="V45" s="25">
        <f t="shared" si="0"/>
        <v>0</v>
      </c>
      <c r="W45" s="25">
        <f t="shared" si="0"/>
        <v>0</v>
      </c>
      <c r="X45" s="25">
        <f t="shared" si="0"/>
        <v>0</v>
      </c>
      <c r="Y45" s="25">
        <f t="shared" si="0"/>
        <v>0</v>
      </c>
      <c r="Z45" s="25">
        <f t="shared" si="0"/>
        <v>0</v>
      </c>
      <c r="AA45" s="25">
        <f t="shared" si="0"/>
        <v>0</v>
      </c>
      <c r="AB45" s="25">
        <f>SUM(AB2:AB44)</f>
        <v>0</v>
      </c>
      <c r="AC45" s="25">
        <f>SUM(AC2:AC44)</f>
        <v>0</v>
      </c>
      <c r="AD45" s="25">
        <f>SUM(AD2:AD44)</f>
        <v>0</v>
      </c>
      <c r="AE45" s="25">
        <f>SUM(AE2:AE44)</f>
        <v>0</v>
      </c>
      <c r="AF45" s="25">
        <f>SUM(AF2:AF44)</f>
        <v>0</v>
      </c>
      <c r="AG45" s="27">
        <f>SUM(B45:AF45)</f>
        <v>0</v>
      </c>
    </row>
    <row r="46" spans="1:33" x14ac:dyDescent="0.2">
      <c r="B46" s="5"/>
    </row>
    <row r="47" spans="1:33" s="4" customFormat="1" ht="15.75" x14ac:dyDescent="0.25">
      <c r="B47" s="9"/>
      <c r="AG47" s="16"/>
    </row>
    <row r="48" spans="1:33" s="4" customFormat="1" x14ac:dyDescent="0.2">
      <c r="B48" s="7"/>
      <c r="AG48" s="16"/>
    </row>
    <row r="49" spans="2:33" s="4" customFormat="1" x14ac:dyDescent="0.2">
      <c r="B49" s="7"/>
      <c r="AG49" s="16"/>
    </row>
    <row r="50" spans="2:33" s="4" customFormat="1" x14ac:dyDescent="0.2">
      <c r="B50" s="7"/>
      <c r="C50" s="10"/>
      <c r="AG50" s="16"/>
    </row>
    <row r="51" spans="2:33" s="4" customFormat="1" x14ac:dyDescent="0.2">
      <c r="B51" s="7"/>
      <c r="AG51" s="16"/>
    </row>
    <row r="52" spans="2:33" s="4" customFormat="1" x14ac:dyDescent="0.2">
      <c r="B52" s="7"/>
      <c r="L52" s="10"/>
      <c r="AG52" s="16"/>
    </row>
    <row r="53" spans="2:33" s="4" customFormat="1" x14ac:dyDescent="0.2">
      <c r="B53" s="7"/>
      <c r="AG53" s="16"/>
    </row>
    <row r="54" spans="2:33" s="4" customFormat="1" x14ac:dyDescent="0.2">
      <c r="B54" s="7"/>
      <c r="AG54" s="16"/>
    </row>
    <row r="55" spans="2:33" s="4" customFormat="1" x14ac:dyDescent="0.2">
      <c r="B55" s="7"/>
      <c r="AG55" s="16"/>
    </row>
    <row r="56" spans="2:33" s="4" customFormat="1" x14ac:dyDescent="0.2">
      <c r="B56" s="7"/>
      <c r="C56" s="10"/>
      <c r="AG56" s="16"/>
    </row>
    <row r="57" spans="2:33" s="4" customFormat="1" ht="15.75" x14ac:dyDescent="0.25">
      <c r="B57" s="7"/>
      <c r="C57" s="10"/>
      <c r="P57" s="3"/>
      <c r="AG57" s="16"/>
    </row>
    <row r="58" spans="2:33" s="4" customFormat="1" ht="15.75" x14ac:dyDescent="0.25">
      <c r="B58" s="7"/>
      <c r="H58" s="10"/>
      <c r="P58" s="3"/>
      <c r="AG58" s="16"/>
    </row>
    <row r="59" spans="2:33" s="4" customFormat="1" ht="15.75" x14ac:dyDescent="0.25">
      <c r="B59" s="7"/>
      <c r="P59" s="3"/>
      <c r="AG59" s="16"/>
    </row>
    <row r="60" spans="2:33" s="4" customFormat="1" ht="15.75" x14ac:dyDescent="0.25">
      <c r="B60" s="7"/>
      <c r="P60" s="3"/>
      <c r="AG60" s="16"/>
    </row>
    <row r="61" spans="2:33" s="4" customFormat="1" ht="15.75" x14ac:dyDescent="0.25">
      <c r="B61" s="7"/>
      <c r="P61" s="3"/>
      <c r="AG61" s="16"/>
    </row>
    <row r="62" spans="2:33" s="4" customFormat="1" ht="15.75" x14ac:dyDescent="0.25">
      <c r="B62" s="7"/>
      <c r="P62" s="3"/>
      <c r="AG62" s="16"/>
    </row>
    <row r="63" spans="2:33" s="4" customFormat="1" ht="15.75" x14ac:dyDescent="0.25">
      <c r="B63" s="7"/>
      <c r="C63" s="10"/>
      <c r="L63" s="10"/>
      <c r="P63" s="3"/>
      <c r="AG63" s="16"/>
    </row>
    <row r="64" spans="2:33" s="4" customFormat="1" ht="15.75" x14ac:dyDescent="0.25">
      <c r="B64" s="7"/>
      <c r="P64" s="3"/>
      <c r="AG64" s="16"/>
    </row>
    <row r="65" spans="2:33" s="4" customFormat="1" ht="15.75" x14ac:dyDescent="0.25">
      <c r="B65" s="7"/>
      <c r="P65" s="3"/>
      <c r="AG65" s="16"/>
    </row>
    <row r="66" spans="2:33" s="4" customFormat="1" ht="15.75" x14ac:dyDescent="0.25">
      <c r="B66" s="7"/>
      <c r="P66" s="3"/>
      <c r="AG66" s="16"/>
    </row>
    <row r="67" spans="2:33" s="4" customFormat="1" ht="15.75" x14ac:dyDescent="0.25">
      <c r="B67" s="7"/>
      <c r="P67" s="3"/>
      <c r="AG67" s="16"/>
    </row>
    <row r="68" spans="2:33" s="4" customFormat="1" x14ac:dyDescent="0.2">
      <c r="B68" s="7"/>
      <c r="AG68" s="16"/>
    </row>
    <row r="69" spans="2:33" s="4" customFormat="1" x14ac:dyDescent="0.2">
      <c r="B69" s="7"/>
      <c r="AG69" s="16"/>
    </row>
    <row r="70" spans="2:33" s="4" customFormat="1" x14ac:dyDescent="0.2">
      <c r="B70" s="7"/>
      <c r="AG70" s="16"/>
    </row>
    <row r="71" spans="2:33" s="4" customFormat="1" x14ac:dyDescent="0.2">
      <c r="B71" s="7"/>
      <c r="AG71" s="16"/>
    </row>
    <row r="72" spans="2:33" s="4" customFormat="1" x14ac:dyDescent="0.2">
      <c r="B72" s="7"/>
      <c r="AG72" s="16"/>
    </row>
    <row r="73" spans="2:33" s="4" customFormat="1" x14ac:dyDescent="0.2">
      <c r="B73" s="7"/>
      <c r="AG73" s="16"/>
    </row>
    <row r="74" spans="2:33" s="4" customFormat="1" x14ac:dyDescent="0.2">
      <c r="B74" s="7"/>
      <c r="AG74" s="16"/>
    </row>
    <row r="75" spans="2:33" s="4" customFormat="1" x14ac:dyDescent="0.2">
      <c r="B75" s="7"/>
      <c r="AG75" s="16"/>
    </row>
    <row r="76" spans="2:33" s="4" customFormat="1" x14ac:dyDescent="0.2">
      <c r="B76" s="7"/>
      <c r="AG76" s="16"/>
    </row>
    <row r="77" spans="2:33" s="4" customFormat="1" x14ac:dyDescent="0.2">
      <c r="B77" s="11"/>
      <c r="AG77" s="16"/>
    </row>
    <row r="78" spans="2:33" s="4" customFormat="1" x14ac:dyDescent="0.2">
      <c r="B78" s="11"/>
      <c r="AG78" s="16"/>
    </row>
    <row r="79" spans="2:33" s="3" customFormat="1" ht="15.75" x14ac:dyDescent="0.25">
      <c r="B79" s="12"/>
      <c r="AG79" s="16"/>
    </row>
    <row r="80" spans="2:33" s="4" customFormat="1" x14ac:dyDescent="0.2">
      <c r="B80" s="7"/>
      <c r="AG80" s="16"/>
    </row>
    <row r="81" spans="2:33" s="4" customFormat="1" ht="15.75" x14ac:dyDescent="0.25">
      <c r="B81" s="9"/>
      <c r="AG81" s="16"/>
    </row>
    <row r="82" spans="2:33" s="4" customFormat="1" x14ac:dyDescent="0.2">
      <c r="B82" s="7"/>
      <c r="AG82" s="16"/>
    </row>
    <row r="83" spans="2:33" s="4" customFormat="1" x14ac:dyDescent="0.2">
      <c r="B83" s="7"/>
      <c r="AG83" s="16"/>
    </row>
    <row r="84" spans="2:33" s="4" customFormat="1" x14ac:dyDescent="0.2">
      <c r="B84" s="7"/>
      <c r="AG84" s="16"/>
    </row>
    <row r="85" spans="2:33" s="4" customFormat="1" x14ac:dyDescent="0.2">
      <c r="B85" s="7"/>
      <c r="AG85" s="16"/>
    </row>
    <row r="86" spans="2:33" s="4" customFormat="1" x14ac:dyDescent="0.2">
      <c r="B86" s="7"/>
      <c r="AG86" s="16"/>
    </row>
    <row r="87" spans="2:33" s="4" customFormat="1" x14ac:dyDescent="0.2">
      <c r="B87" s="7"/>
      <c r="AG87" s="16"/>
    </row>
    <row r="88" spans="2:33" s="4" customFormat="1" x14ac:dyDescent="0.2">
      <c r="B88" s="7"/>
      <c r="AG88" s="16"/>
    </row>
    <row r="89" spans="2:33" s="4" customFormat="1" x14ac:dyDescent="0.2">
      <c r="B89" s="7"/>
      <c r="AG89" s="16"/>
    </row>
    <row r="90" spans="2:33" s="4" customFormat="1" x14ac:dyDescent="0.2">
      <c r="B90" s="7"/>
      <c r="AG90" s="16"/>
    </row>
    <row r="91" spans="2:33" s="4" customFormat="1" x14ac:dyDescent="0.2">
      <c r="B91" s="7"/>
      <c r="AG91" s="16"/>
    </row>
    <row r="92" spans="2:33" s="4" customFormat="1" x14ac:dyDescent="0.2">
      <c r="B92" s="7"/>
      <c r="AG92" s="16"/>
    </row>
    <row r="93" spans="2:33" s="4" customFormat="1" x14ac:dyDescent="0.2">
      <c r="B93" s="7"/>
      <c r="AG93" s="16"/>
    </row>
    <row r="94" spans="2:33" s="4" customFormat="1" x14ac:dyDescent="0.2">
      <c r="B94" s="7"/>
      <c r="AG94" s="16"/>
    </row>
    <row r="95" spans="2:33" s="4" customFormat="1" x14ac:dyDescent="0.2">
      <c r="B95" s="7"/>
      <c r="AG95" s="16"/>
    </row>
    <row r="96" spans="2:33" s="4" customFormat="1" x14ac:dyDescent="0.2">
      <c r="B96" s="7"/>
      <c r="AG96" s="16"/>
    </row>
    <row r="97" spans="2:33" s="4" customFormat="1" x14ac:dyDescent="0.2">
      <c r="B97" s="7"/>
      <c r="AG97" s="16"/>
    </row>
    <row r="98" spans="2:33" s="4" customFormat="1" x14ac:dyDescent="0.2">
      <c r="B98" s="7"/>
      <c r="AG98" s="16"/>
    </row>
    <row r="99" spans="2:33" s="4" customFormat="1" x14ac:dyDescent="0.2">
      <c r="B99" s="7"/>
      <c r="AG99" s="16"/>
    </row>
    <row r="100" spans="2:33" s="4" customFormat="1" x14ac:dyDescent="0.2">
      <c r="B100" s="7"/>
      <c r="AG100" s="16"/>
    </row>
    <row r="101" spans="2:33" s="4" customFormat="1" x14ac:dyDescent="0.2">
      <c r="B101" s="7"/>
      <c r="AG101" s="16"/>
    </row>
    <row r="102" spans="2:33" s="4" customFormat="1" x14ac:dyDescent="0.2">
      <c r="B102" s="7"/>
      <c r="AG102" s="16"/>
    </row>
    <row r="103" spans="2:33" s="4" customFormat="1" x14ac:dyDescent="0.2">
      <c r="B103" s="7"/>
      <c r="AG103" s="16"/>
    </row>
    <row r="104" spans="2:33" s="4" customFormat="1" x14ac:dyDescent="0.2">
      <c r="B104" s="7"/>
      <c r="AG104" s="16"/>
    </row>
    <row r="105" spans="2:33" s="4" customFormat="1" x14ac:dyDescent="0.2">
      <c r="B105" s="7"/>
      <c r="AG105" s="16"/>
    </row>
    <row r="106" spans="2:33" s="4" customFormat="1" x14ac:dyDescent="0.2">
      <c r="B106" s="7"/>
      <c r="AG106" s="16"/>
    </row>
    <row r="107" spans="2:33" s="4" customFormat="1" x14ac:dyDescent="0.2">
      <c r="B107" s="7"/>
      <c r="AG107" s="16"/>
    </row>
    <row r="108" spans="2:33" s="4" customFormat="1" x14ac:dyDescent="0.2">
      <c r="B108" s="7"/>
      <c r="AG108" s="16"/>
    </row>
    <row r="109" spans="2:33" s="4" customFormat="1" x14ac:dyDescent="0.2">
      <c r="B109" s="7"/>
      <c r="AG109" s="16"/>
    </row>
    <row r="110" spans="2:33" s="4" customFormat="1" x14ac:dyDescent="0.2">
      <c r="B110" s="7"/>
      <c r="AG110" s="16"/>
    </row>
    <row r="111" spans="2:33" s="4" customFormat="1" x14ac:dyDescent="0.2">
      <c r="B111" s="7"/>
      <c r="AG111" s="16"/>
    </row>
    <row r="112" spans="2:33" s="4" customFormat="1" x14ac:dyDescent="0.2">
      <c r="B112" s="7"/>
      <c r="AG112" s="16"/>
    </row>
    <row r="113" spans="2:33" s="4" customFormat="1" ht="15.75" x14ac:dyDescent="0.25">
      <c r="B113" s="12"/>
      <c r="C113" s="3"/>
      <c r="D113" s="3"/>
      <c r="E113" s="3"/>
      <c r="F113" s="3"/>
      <c r="G113" s="3"/>
      <c r="H113" s="3"/>
      <c r="I113" s="3"/>
      <c r="J113" s="3"/>
      <c r="K113" s="3"/>
      <c r="L113" s="3"/>
      <c r="M113" s="3"/>
      <c r="AG113" s="16"/>
    </row>
    <row r="114" spans="2:33" x14ac:dyDescent="0.2">
      <c r="B114" s="5"/>
    </row>
    <row r="115" spans="2:33" x14ac:dyDescent="0.2">
      <c r="B115" s="5"/>
    </row>
    <row r="116" spans="2:33" x14ac:dyDescent="0.2">
      <c r="B116" s="5"/>
    </row>
    <row r="117" spans="2:33" x14ac:dyDescent="0.2">
      <c r="B117" s="5"/>
    </row>
    <row r="118" spans="2:33" x14ac:dyDescent="0.2">
      <c r="B118" s="5"/>
    </row>
    <row r="119" spans="2:33" x14ac:dyDescent="0.2">
      <c r="B119" s="5"/>
    </row>
    <row r="120" spans="2:33" x14ac:dyDescent="0.2">
      <c r="B120" s="5"/>
    </row>
    <row r="121" spans="2:33" x14ac:dyDescent="0.2">
      <c r="B121" s="5"/>
    </row>
    <row r="122" spans="2:33" x14ac:dyDescent="0.2">
      <c r="B122" s="5"/>
    </row>
    <row r="123" spans="2:33" x14ac:dyDescent="0.2">
      <c r="B123" s="5"/>
    </row>
    <row r="124" spans="2:33" x14ac:dyDescent="0.2">
      <c r="B124" s="5"/>
    </row>
    <row r="125" spans="2:33" x14ac:dyDescent="0.2">
      <c r="B125" s="5"/>
    </row>
    <row r="126" spans="2:33" x14ac:dyDescent="0.2">
      <c r="B126" s="5"/>
    </row>
    <row r="127" spans="2:33" x14ac:dyDescent="0.2">
      <c r="B127" s="5"/>
    </row>
    <row r="128" spans="2:33" x14ac:dyDescent="0.2">
      <c r="B128" s="5"/>
    </row>
    <row r="129" spans="2:2" x14ac:dyDescent="0.2">
      <c r="B129" s="5"/>
    </row>
    <row r="130" spans="2:2" x14ac:dyDescent="0.2">
      <c r="B130" s="5"/>
    </row>
    <row r="131" spans="2:2" x14ac:dyDescent="0.2">
      <c r="B131" s="5"/>
    </row>
    <row r="132" spans="2:2" x14ac:dyDescent="0.2">
      <c r="B132" s="5"/>
    </row>
    <row r="133" spans="2:2" x14ac:dyDescent="0.2">
      <c r="B133" s="5"/>
    </row>
    <row r="134" spans="2:2" x14ac:dyDescent="0.2">
      <c r="B134" s="5"/>
    </row>
    <row r="135" spans="2:2" x14ac:dyDescent="0.2">
      <c r="B135" s="5"/>
    </row>
    <row r="136" spans="2:2" x14ac:dyDescent="0.2">
      <c r="B136" s="5"/>
    </row>
    <row r="137" spans="2:2" x14ac:dyDescent="0.2">
      <c r="B137" s="5"/>
    </row>
    <row r="138" spans="2:2" x14ac:dyDescent="0.2">
      <c r="B138" s="5"/>
    </row>
    <row r="139" spans="2:2" x14ac:dyDescent="0.2">
      <c r="B139" s="5"/>
    </row>
    <row r="140" spans="2:2" x14ac:dyDescent="0.2">
      <c r="B140" s="5"/>
    </row>
    <row r="141" spans="2:2" x14ac:dyDescent="0.2">
      <c r="B141" s="5"/>
    </row>
    <row r="142" spans="2:2" x14ac:dyDescent="0.2">
      <c r="B142" s="5"/>
    </row>
    <row r="143" spans="2:2" x14ac:dyDescent="0.2">
      <c r="B143" s="5"/>
    </row>
    <row r="144" spans="2:2" x14ac:dyDescent="0.2">
      <c r="B144" s="5"/>
    </row>
    <row r="145" spans="2:2" x14ac:dyDescent="0.2">
      <c r="B145" s="5"/>
    </row>
    <row r="146" spans="2:2" x14ac:dyDescent="0.2">
      <c r="B146" s="5"/>
    </row>
    <row r="147" spans="2:2" x14ac:dyDescent="0.2">
      <c r="B147" s="5"/>
    </row>
    <row r="148" spans="2:2" x14ac:dyDescent="0.2">
      <c r="B148" s="5"/>
    </row>
    <row r="149" spans="2:2" x14ac:dyDescent="0.2">
      <c r="B149" s="5"/>
    </row>
    <row r="150" spans="2:2" x14ac:dyDescent="0.2">
      <c r="B150" s="5"/>
    </row>
    <row r="151" spans="2:2" x14ac:dyDescent="0.2">
      <c r="B151" s="5"/>
    </row>
    <row r="152" spans="2:2" x14ac:dyDescent="0.2">
      <c r="B152" s="5"/>
    </row>
    <row r="153" spans="2:2" x14ac:dyDescent="0.2">
      <c r="B153" s="5"/>
    </row>
    <row r="154" spans="2:2" x14ac:dyDescent="0.2">
      <c r="B154" s="5"/>
    </row>
    <row r="155" spans="2:2" x14ac:dyDescent="0.2">
      <c r="B155" s="5"/>
    </row>
    <row r="156" spans="2:2" x14ac:dyDescent="0.2">
      <c r="B156" s="5"/>
    </row>
    <row r="157" spans="2:2" x14ac:dyDescent="0.2">
      <c r="B157" s="5"/>
    </row>
    <row r="158" spans="2:2" x14ac:dyDescent="0.2">
      <c r="B158" s="5"/>
    </row>
    <row r="159" spans="2:2" x14ac:dyDescent="0.2">
      <c r="B159" s="5"/>
    </row>
    <row r="160" spans="2:2" x14ac:dyDescent="0.2">
      <c r="B160" s="5"/>
    </row>
    <row r="161" spans="2:2" x14ac:dyDescent="0.2">
      <c r="B161" s="5"/>
    </row>
    <row r="162" spans="2:2" x14ac:dyDescent="0.2">
      <c r="B162" s="5"/>
    </row>
    <row r="163" spans="2:2" x14ac:dyDescent="0.2">
      <c r="B163" s="5"/>
    </row>
    <row r="164" spans="2:2" x14ac:dyDescent="0.2">
      <c r="B164" s="5"/>
    </row>
    <row r="165" spans="2:2" x14ac:dyDescent="0.2">
      <c r="B165" s="5"/>
    </row>
    <row r="166" spans="2:2" x14ac:dyDescent="0.2">
      <c r="B166" s="5"/>
    </row>
    <row r="167" spans="2:2" x14ac:dyDescent="0.2">
      <c r="B167" s="5"/>
    </row>
    <row r="168" spans="2:2" x14ac:dyDescent="0.2">
      <c r="B168" s="5"/>
    </row>
    <row r="169" spans="2:2" x14ac:dyDescent="0.2">
      <c r="B169" s="5"/>
    </row>
    <row r="170" spans="2:2" x14ac:dyDescent="0.2">
      <c r="B170" s="5"/>
    </row>
    <row r="171" spans="2:2" x14ac:dyDescent="0.2">
      <c r="B171" s="5"/>
    </row>
    <row r="172" spans="2:2" x14ac:dyDescent="0.2">
      <c r="B172" s="5"/>
    </row>
    <row r="173" spans="2:2" x14ac:dyDescent="0.2">
      <c r="B173" s="5"/>
    </row>
    <row r="174" spans="2:2" x14ac:dyDescent="0.2">
      <c r="B174" s="5"/>
    </row>
    <row r="175" spans="2:2" x14ac:dyDescent="0.2">
      <c r="B175" s="5"/>
    </row>
    <row r="176" spans="2:2" x14ac:dyDescent="0.2">
      <c r="B176" s="5"/>
    </row>
    <row r="177" spans="2:2" x14ac:dyDescent="0.2">
      <c r="B177" s="5"/>
    </row>
    <row r="178" spans="2:2" x14ac:dyDescent="0.2">
      <c r="B178" s="5"/>
    </row>
    <row r="179" spans="2:2" x14ac:dyDescent="0.2">
      <c r="B179" s="5"/>
    </row>
    <row r="180" spans="2:2" x14ac:dyDescent="0.2">
      <c r="B180" s="5"/>
    </row>
    <row r="181" spans="2:2" x14ac:dyDescent="0.2">
      <c r="B181" s="5"/>
    </row>
    <row r="182" spans="2:2" x14ac:dyDescent="0.2">
      <c r="B182" s="5"/>
    </row>
    <row r="183" spans="2:2" x14ac:dyDescent="0.2">
      <c r="B183" s="5"/>
    </row>
    <row r="184" spans="2:2" x14ac:dyDescent="0.2">
      <c r="B184" s="5"/>
    </row>
    <row r="185" spans="2:2" x14ac:dyDescent="0.2">
      <c r="B185" s="5"/>
    </row>
    <row r="186" spans="2:2" x14ac:dyDescent="0.2">
      <c r="B186" s="5"/>
    </row>
    <row r="187" spans="2:2" x14ac:dyDescent="0.2">
      <c r="B187" s="5"/>
    </row>
    <row r="188" spans="2:2" x14ac:dyDescent="0.2">
      <c r="B188" s="5"/>
    </row>
    <row r="189" spans="2:2" x14ac:dyDescent="0.2">
      <c r="B189" s="5"/>
    </row>
    <row r="190" spans="2:2" x14ac:dyDescent="0.2">
      <c r="B190" s="5"/>
    </row>
  </sheetData>
  <pageMargins left="0.75" right="0.75" top="1" bottom="1" header="0.5" footer="0.5"/>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Kapitalwert+Annuität</vt:lpstr>
      <vt:lpstr>Futterlaubstreifen</vt:lpstr>
      <vt:lpstr>Futterlauberlöse</vt:lpstr>
      <vt:lpstr>Januar</vt:lpstr>
      <vt:lpstr>Februar</vt:lpstr>
      <vt:lpstr>März</vt:lpstr>
      <vt:lpstr>April</vt:lpstr>
      <vt:lpstr>Mai</vt:lpstr>
      <vt:lpstr>Juni</vt:lpstr>
      <vt:lpstr>Juli</vt:lpstr>
      <vt:lpstr>August</vt:lpstr>
      <vt:lpstr>September</vt:lpstr>
      <vt:lpstr>Oktober</vt:lpstr>
      <vt:lpstr>November</vt:lpstr>
      <vt:lpstr>Dezember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Proto Type</dc:creator>
  <cp:lastModifiedBy>Anja</cp:lastModifiedBy>
  <dcterms:created xsi:type="dcterms:W3CDTF">2015-11-25T14:23:36Z</dcterms:created>
  <dcterms:modified xsi:type="dcterms:W3CDTF">2026-09-29T10:03:17Z</dcterms:modified>
</cp:coreProperties>
</file>