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Job\2019 - xx_DeFAF\2021 FB Ökonomie\2024-2026 MLLEV_SH PROJEKT_XXXXXXXXXXXX\OUTPUT-Kapitalwert-FINAL\"/>
    </mc:Choice>
  </mc:AlternateContent>
  <xr:revisionPtr revIDLastSave="0" documentId="13_ncr:1_{5C90FED2-D043-4B0F-A79F-0B4926D5EC81}" xr6:coauthVersionLast="47" xr6:coauthVersionMax="47" xr10:uidLastSave="{00000000-0000-0000-0000-000000000000}"/>
  <bookViews>
    <workbookView xWindow="28680" yWindow="-120" windowWidth="29040" windowHeight="15720" tabRatio="730" xr2:uid="{00000000-000D-0000-FFFF-FFFF00000000}"/>
  </bookViews>
  <sheets>
    <sheet name="Kapitalwert+Annuität" sheetId="23" r:id="rId1"/>
    <sheet name="Obst-AFS" sheetId="25" r:id="rId2"/>
    <sheet name="Obsterlös" sheetId="28" r:id="rId3"/>
    <sheet name="Futterlauberlös" sheetId="27" r:id="rId4"/>
    <sheet name="Haselnusserlös" sheetId="29" r:id="rId5"/>
    <sheet name="Januar" sheetId="1" state="hidden" r:id="rId6"/>
    <sheet name="Februar" sheetId="9" state="hidden" r:id="rId7"/>
    <sheet name="März" sheetId="10" state="hidden" r:id="rId8"/>
    <sheet name="April" sheetId="11" state="hidden" r:id="rId9"/>
    <sheet name="Mai" sheetId="12" state="hidden" r:id="rId10"/>
    <sheet name="Juni" sheetId="13" state="hidden" r:id="rId11"/>
    <sheet name="Juli" sheetId="14" state="hidden" r:id="rId12"/>
    <sheet name="August" sheetId="15" state="hidden" r:id="rId13"/>
    <sheet name="September" sheetId="16" state="hidden" r:id="rId14"/>
    <sheet name="Oktober" sheetId="17" state="hidden" r:id="rId15"/>
    <sheet name="November" sheetId="18" state="hidden" r:id="rId16"/>
    <sheet name="Dezember" sheetId="19" state="hidden" r:id="rId17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27" i="25" l="1"/>
  <c r="B327" i="25"/>
  <c r="C316" i="25"/>
  <c r="B316" i="25"/>
  <c r="C305" i="25"/>
  <c r="B305" i="25"/>
  <c r="C294" i="25"/>
  <c r="B294" i="25"/>
  <c r="C283" i="25"/>
  <c r="B283" i="25"/>
  <c r="C271" i="25"/>
  <c r="B271" i="25"/>
  <c r="C260" i="25"/>
  <c r="B260" i="25"/>
  <c r="C249" i="25"/>
  <c r="B249" i="25"/>
  <c r="C238" i="25"/>
  <c r="B238" i="25"/>
  <c r="F227" i="25"/>
  <c r="C227" i="25"/>
  <c r="B227" i="25"/>
  <c r="C216" i="25"/>
  <c r="B216" i="25"/>
  <c r="C205" i="25"/>
  <c r="B205" i="25"/>
  <c r="C194" i="25"/>
  <c r="B194" i="25"/>
  <c r="F183" i="25"/>
  <c r="C183" i="25"/>
  <c r="B183" i="25"/>
  <c r="F172" i="25"/>
  <c r="C172" i="25"/>
  <c r="B172" i="25"/>
  <c r="C160" i="25"/>
  <c r="B160" i="25"/>
  <c r="F150" i="25"/>
  <c r="C150" i="25"/>
  <c r="B150" i="25"/>
  <c r="F140" i="25"/>
  <c r="C140" i="25"/>
  <c r="B140" i="25"/>
  <c r="F130" i="25"/>
  <c r="C130" i="25"/>
  <c r="B130" i="25"/>
  <c r="D130" i="25"/>
  <c r="F120" i="25"/>
  <c r="D120" i="25"/>
  <c r="C120" i="25"/>
  <c r="B120" i="25"/>
  <c r="C109" i="25"/>
  <c r="B109" i="25"/>
  <c r="D98" i="25"/>
  <c r="C98" i="25"/>
  <c r="B98" i="25"/>
  <c r="F98" i="25"/>
  <c r="E98" i="25"/>
  <c r="F92" i="25"/>
  <c r="D92" i="25"/>
  <c r="C92" i="25"/>
  <c r="B92" i="25"/>
  <c r="C57" i="25"/>
  <c r="B57" i="25"/>
  <c r="C73" i="25"/>
  <c r="B73" i="25"/>
  <c r="C80" i="25"/>
  <c r="B80" i="25"/>
  <c r="J320" i="25"/>
  <c r="N320" i="25" s="1"/>
  <c r="J309" i="25"/>
  <c r="N309" i="25" s="1"/>
  <c r="J298" i="25"/>
  <c r="N298" i="25" s="1"/>
  <c r="J287" i="25"/>
  <c r="N287" i="25" s="1"/>
  <c r="J275" i="25"/>
  <c r="N275" i="25" s="1"/>
  <c r="J264" i="25"/>
  <c r="N264" i="25" s="1"/>
  <c r="J253" i="25"/>
  <c r="N253" i="25" s="1"/>
  <c r="J242" i="25"/>
  <c r="N242" i="25" s="1"/>
  <c r="J231" i="25"/>
  <c r="N231" i="25" s="1"/>
  <c r="J220" i="25"/>
  <c r="N220" i="25" s="1"/>
  <c r="J209" i="25"/>
  <c r="M209" i="25" s="1"/>
  <c r="J198" i="25"/>
  <c r="N198" i="25" s="1"/>
  <c r="J187" i="25"/>
  <c r="N187" i="25" s="1"/>
  <c r="J176" i="25"/>
  <c r="N176" i="25" s="1"/>
  <c r="J164" i="25"/>
  <c r="N164" i="25" s="1"/>
  <c r="N154" i="25"/>
  <c r="M154" i="25"/>
  <c r="J154" i="25"/>
  <c r="J144" i="25"/>
  <c r="J134" i="25"/>
  <c r="J124" i="25"/>
  <c r="J114" i="25"/>
  <c r="J103" i="25"/>
  <c r="E53" i="28"/>
  <c r="F54" i="28"/>
  <c r="F53" i="28"/>
  <c r="E54" i="28"/>
  <c r="M320" i="25" l="1"/>
  <c r="M309" i="25"/>
  <c r="M298" i="25"/>
  <c r="M287" i="25"/>
  <c r="M275" i="25"/>
  <c r="M264" i="25"/>
  <c r="M253" i="25"/>
  <c r="M242" i="25"/>
  <c r="M231" i="25"/>
  <c r="M220" i="25"/>
  <c r="N209" i="25"/>
  <c r="M198" i="25"/>
  <c r="M187" i="25"/>
  <c r="M176" i="25"/>
  <c r="M164" i="25"/>
  <c r="S63" i="25"/>
  <c r="S61" i="25"/>
  <c r="J325" i="25"/>
  <c r="J314" i="25"/>
  <c r="J303" i="25"/>
  <c r="J292" i="25"/>
  <c r="J281" i="25"/>
  <c r="J269" i="25"/>
  <c r="J258" i="25"/>
  <c r="J247" i="25"/>
  <c r="J236" i="25"/>
  <c r="J225" i="25"/>
  <c r="J214" i="25"/>
  <c r="J203" i="25"/>
  <c r="J192" i="25"/>
  <c r="J181" i="25"/>
  <c r="J170" i="25"/>
  <c r="J326" i="25"/>
  <c r="M326" i="25" s="1"/>
  <c r="J315" i="25"/>
  <c r="M315" i="25" s="1"/>
  <c r="J304" i="25"/>
  <c r="N304" i="25" s="1"/>
  <c r="J293" i="25"/>
  <c r="N293" i="25" s="1"/>
  <c r="J282" i="25"/>
  <c r="N282" i="25" s="1"/>
  <c r="J270" i="25"/>
  <c r="N270" i="25" s="1"/>
  <c r="J259" i="25"/>
  <c r="N259" i="25" s="1"/>
  <c r="J248" i="25"/>
  <c r="N248" i="25" s="1"/>
  <c r="J237" i="25"/>
  <c r="N237" i="25" s="1"/>
  <c r="J226" i="25"/>
  <c r="N226" i="25" s="1"/>
  <c r="J215" i="25"/>
  <c r="M215" i="25" s="1"/>
  <c r="J204" i="25"/>
  <c r="M204" i="25" s="1"/>
  <c r="J193" i="25"/>
  <c r="M193" i="25" s="1"/>
  <c r="J182" i="25"/>
  <c r="N182" i="25" s="1"/>
  <c r="J171" i="25"/>
  <c r="N171" i="25" s="1"/>
  <c r="J159" i="25"/>
  <c r="N159" i="25" s="1"/>
  <c r="J148" i="25"/>
  <c r="J139" i="25"/>
  <c r="M139" i="25" s="1"/>
  <c r="J129" i="25"/>
  <c r="N129" i="25" s="1"/>
  <c r="J119" i="25"/>
  <c r="N119" i="25" s="1"/>
  <c r="J108" i="25"/>
  <c r="N108" i="25" s="1"/>
  <c r="J97" i="25"/>
  <c r="N97" i="25" s="1"/>
  <c r="J90" i="25"/>
  <c r="M90" i="25" s="1"/>
  <c r="A38" i="29"/>
  <c r="A37" i="29"/>
  <c r="S91" i="25"/>
  <c r="M91" i="25"/>
  <c r="N91" i="25"/>
  <c r="V149" i="25"/>
  <c r="V159" i="25"/>
  <c r="V171" i="25"/>
  <c r="V182" i="25"/>
  <c r="V193" i="25"/>
  <c r="V204" i="25"/>
  <c r="V215" i="25"/>
  <c r="V226" i="25"/>
  <c r="V237" i="25"/>
  <c r="V248" i="25"/>
  <c r="V259" i="25"/>
  <c r="V270" i="25"/>
  <c r="V282" i="25"/>
  <c r="V293" i="25"/>
  <c r="V304" i="25"/>
  <c r="V315" i="25"/>
  <c r="V326" i="25"/>
  <c r="V139" i="25"/>
  <c r="V129" i="25"/>
  <c r="V119" i="25"/>
  <c r="V108" i="25"/>
  <c r="V103" i="25"/>
  <c r="M86" i="25"/>
  <c r="N86" i="25"/>
  <c r="M87" i="25"/>
  <c r="N87" i="25"/>
  <c r="M88" i="25"/>
  <c r="N88" i="25"/>
  <c r="M89" i="25"/>
  <c r="N89" i="25"/>
  <c r="A31" i="29"/>
  <c r="A30" i="29"/>
  <c r="V97" i="25" s="1"/>
  <c r="A24" i="29"/>
  <c r="A20" i="29"/>
  <c r="A25" i="29" s="1"/>
  <c r="A21" i="29"/>
  <c r="N204" i="25" l="1"/>
  <c r="N326" i="25"/>
  <c r="M237" i="25"/>
  <c r="M248" i="25"/>
  <c r="M182" i="25"/>
  <c r="N215" i="25"/>
  <c r="M226" i="25"/>
  <c r="M259" i="25"/>
  <c r="M270" i="25"/>
  <c r="M282" i="25"/>
  <c r="N90" i="25"/>
  <c r="M293" i="25"/>
  <c r="M304" i="25"/>
  <c r="M171" i="25"/>
  <c r="N315" i="25"/>
  <c r="N193" i="25"/>
  <c r="M159" i="25"/>
  <c r="N139" i="25"/>
  <c r="M129" i="25"/>
  <c r="M119" i="25"/>
  <c r="M108" i="25"/>
  <c r="M97" i="25"/>
  <c r="V90" i="25"/>
  <c r="N325" i="25" l="1"/>
  <c r="N314" i="25"/>
  <c r="N303" i="25"/>
  <c r="N292" i="25"/>
  <c r="N281" i="25"/>
  <c r="N269" i="25"/>
  <c r="N258" i="25"/>
  <c r="N247" i="25"/>
  <c r="M236" i="25"/>
  <c r="N225" i="25"/>
  <c r="N214" i="25"/>
  <c r="N203" i="25"/>
  <c r="N192" i="25"/>
  <c r="N181" i="25"/>
  <c r="M170" i="25"/>
  <c r="M169" i="25"/>
  <c r="N169" i="25"/>
  <c r="R54" i="28"/>
  <c r="R55" i="28"/>
  <c r="V278" i="25"/>
  <c r="R280" i="25"/>
  <c r="S280" i="25" s="1"/>
  <c r="M280" i="25"/>
  <c r="N280" i="25"/>
  <c r="V167" i="25"/>
  <c r="R169" i="25"/>
  <c r="S169" i="25" s="1"/>
  <c r="K118" i="25"/>
  <c r="K138" i="25" s="1"/>
  <c r="L118" i="25"/>
  <c r="L128" i="25" s="1"/>
  <c r="R107" i="25"/>
  <c r="S107" i="25" s="1"/>
  <c r="S276" i="25"/>
  <c r="G54" i="28"/>
  <c r="G53" i="28"/>
  <c r="J267" i="25"/>
  <c r="J256" i="25"/>
  <c r="M256" i="25" s="1"/>
  <c r="J245" i="25"/>
  <c r="M245" i="25" s="1"/>
  <c r="J234" i="25"/>
  <c r="J223" i="25"/>
  <c r="M223" i="25" s="1"/>
  <c r="J212" i="25"/>
  <c r="M212" i="25" s="1"/>
  <c r="J201" i="25"/>
  <c r="N201" i="25" s="1"/>
  <c r="J190" i="25"/>
  <c r="N190" i="25" s="1"/>
  <c r="J179" i="25"/>
  <c r="M179" i="25" s="1"/>
  <c r="J167" i="25"/>
  <c r="J157" i="25"/>
  <c r="J147" i="25"/>
  <c r="J137" i="25"/>
  <c r="J127" i="25"/>
  <c r="J117" i="25"/>
  <c r="J106" i="25"/>
  <c r="M106" i="25" s="1"/>
  <c r="T55" i="28"/>
  <c r="J290" i="25" s="1"/>
  <c r="M290" i="25" s="1"/>
  <c r="S55" i="28"/>
  <c r="S54" i="28"/>
  <c r="S53" i="28"/>
  <c r="T53" i="28" s="1"/>
  <c r="R53" i="28"/>
  <c r="Q55" i="28"/>
  <c r="P55" i="28"/>
  <c r="P54" i="28"/>
  <c r="Q54" i="28" s="1"/>
  <c r="J233" i="25" s="1"/>
  <c r="M233" i="25" s="1"/>
  <c r="P53" i="28"/>
  <c r="Q53" i="28" s="1"/>
  <c r="O55" i="28"/>
  <c r="O54" i="28"/>
  <c r="O53" i="28"/>
  <c r="N55" i="28"/>
  <c r="M55" i="28"/>
  <c r="M54" i="28"/>
  <c r="N54" i="28" s="1"/>
  <c r="M53" i="28"/>
  <c r="N53" i="28" s="1"/>
  <c r="J125" i="25" s="1"/>
  <c r="G55" i="28"/>
  <c r="F55" i="28"/>
  <c r="E55" i="28"/>
  <c r="V264" i="25"/>
  <c r="V275" i="25"/>
  <c r="V287" i="25"/>
  <c r="V298" i="25"/>
  <c r="V309" i="25"/>
  <c r="V320" i="25"/>
  <c r="V125" i="25"/>
  <c r="V104" i="25"/>
  <c r="V114" i="25"/>
  <c r="K115" i="25"/>
  <c r="K155" i="25" s="1"/>
  <c r="L115" i="25"/>
  <c r="L155" i="25" s="1"/>
  <c r="K116" i="25"/>
  <c r="K156" i="25" s="1"/>
  <c r="L116" i="25"/>
  <c r="L156" i="25" s="1"/>
  <c r="K117" i="25"/>
  <c r="K157" i="25" s="1"/>
  <c r="L117" i="25"/>
  <c r="L127" i="25" s="1"/>
  <c r="S105" i="25"/>
  <c r="S104" i="25"/>
  <c r="I59" i="28"/>
  <c r="H59" i="28"/>
  <c r="V145" i="25" s="1"/>
  <c r="L55" i="28"/>
  <c r="L54" i="28"/>
  <c r="L53" i="28"/>
  <c r="I50" i="28"/>
  <c r="J64" i="28" s="1"/>
  <c r="J50" i="28"/>
  <c r="L64" i="28" s="1"/>
  <c r="H50" i="28"/>
  <c r="H64" i="28" s="1"/>
  <c r="I49" i="28"/>
  <c r="K60" i="28" s="1"/>
  <c r="J49" i="28"/>
  <c r="M60" i="28" s="1"/>
  <c r="H49" i="28"/>
  <c r="I60" i="28" s="1"/>
  <c r="I48" i="28"/>
  <c r="J59" i="28" s="1"/>
  <c r="J48" i="28"/>
  <c r="L59" i="28" s="1"/>
  <c r="H48" i="28"/>
  <c r="J189" i="25" l="1"/>
  <c r="N189" i="25" s="1"/>
  <c r="J178" i="25"/>
  <c r="M178" i="25" s="1"/>
  <c r="J244" i="25"/>
  <c r="M244" i="25" s="1"/>
  <c r="J222" i="25"/>
  <c r="M222" i="25" s="1"/>
  <c r="J255" i="25"/>
  <c r="M255" i="25" s="1"/>
  <c r="J200" i="25"/>
  <c r="N200" i="25" s="1"/>
  <c r="J266" i="25"/>
  <c r="M266" i="25" s="1"/>
  <c r="J211" i="25"/>
  <c r="M211" i="25" s="1"/>
  <c r="J166" i="25"/>
  <c r="M166" i="25" s="1"/>
  <c r="J254" i="25"/>
  <c r="M254" i="25" s="1"/>
  <c r="J210" i="25"/>
  <c r="M210" i="25" s="1"/>
  <c r="J165" i="25"/>
  <c r="M165" i="25" s="1"/>
  <c r="J243" i="25"/>
  <c r="M243" i="25" s="1"/>
  <c r="J232" i="25"/>
  <c r="M232" i="25" s="1"/>
  <c r="J188" i="25"/>
  <c r="M188" i="25" s="1"/>
  <c r="J199" i="25"/>
  <c r="J265" i="25"/>
  <c r="M265" i="25" s="1"/>
  <c r="J221" i="25"/>
  <c r="M221" i="25" s="1"/>
  <c r="J177" i="25"/>
  <c r="N177" i="25" s="1"/>
  <c r="J156" i="25"/>
  <c r="N156" i="25" s="1"/>
  <c r="J105" i="25"/>
  <c r="M105" i="25" s="1"/>
  <c r="J146" i="25"/>
  <c r="J149" i="25" s="1"/>
  <c r="J126" i="25"/>
  <c r="J128" i="25" s="1"/>
  <c r="J116" i="25"/>
  <c r="J136" i="25"/>
  <c r="J104" i="25"/>
  <c r="M104" i="25" s="1"/>
  <c r="J145" i="25"/>
  <c r="J135" i="25"/>
  <c r="J155" i="25"/>
  <c r="M155" i="25" s="1"/>
  <c r="J115" i="25"/>
  <c r="M115" i="25" s="1"/>
  <c r="M181" i="25"/>
  <c r="M325" i="25"/>
  <c r="M314" i="25"/>
  <c r="M303" i="25"/>
  <c r="M292" i="25"/>
  <c r="M281" i="25"/>
  <c r="M269" i="25"/>
  <c r="M258" i="25"/>
  <c r="M247" i="25"/>
  <c r="N236" i="25"/>
  <c r="M225" i="25"/>
  <c r="M214" i="25"/>
  <c r="M203" i="25"/>
  <c r="M192" i="25"/>
  <c r="N170" i="25"/>
  <c r="L148" i="25"/>
  <c r="N148" i="25" s="1"/>
  <c r="T54" i="28"/>
  <c r="J289" i="25" s="1"/>
  <c r="M289" i="25" s="1"/>
  <c r="J278" i="25"/>
  <c r="M278" i="25" s="1"/>
  <c r="J301" i="25"/>
  <c r="J312" i="25"/>
  <c r="M312" i="25" s="1"/>
  <c r="J323" i="25"/>
  <c r="M323" i="25" s="1"/>
  <c r="K148" i="25"/>
  <c r="M148" i="25" s="1"/>
  <c r="K158" i="25"/>
  <c r="K128" i="25"/>
  <c r="L138" i="25"/>
  <c r="L158" i="25"/>
  <c r="L146" i="25"/>
  <c r="M201" i="25"/>
  <c r="M117" i="25"/>
  <c r="K127" i="25"/>
  <c r="M127" i="25" s="1"/>
  <c r="L126" i="25"/>
  <c r="L147" i="25"/>
  <c r="K147" i="25"/>
  <c r="L145" i="25"/>
  <c r="K145" i="25"/>
  <c r="K126" i="25"/>
  <c r="L125" i="25"/>
  <c r="N125" i="25" s="1"/>
  <c r="K125" i="25"/>
  <c r="M125" i="25" s="1"/>
  <c r="K146" i="25"/>
  <c r="L137" i="25"/>
  <c r="L157" i="25"/>
  <c r="N157" i="25" s="1"/>
  <c r="N179" i="25"/>
  <c r="K137" i="25"/>
  <c r="N117" i="25"/>
  <c r="L136" i="25"/>
  <c r="N245" i="25"/>
  <c r="K136" i="25"/>
  <c r="M190" i="25"/>
  <c r="L135" i="25"/>
  <c r="K135" i="25"/>
  <c r="J288" i="25"/>
  <c r="J321" i="25"/>
  <c r="J276" i="25"/>
  <c r="J310" i="25"/>
  <c r="J299" i="25"/>
  <c r="N290" i="25"/>
  <c r="N256" i="25"/>
  <c r="N233" i="25"/>
  <c r="N223" i="25"/>
  <c r="N212" i="25"/>
  <c r="V137" i="25"/>
  <c r="V147" i="25"/>
  <c r="V106" i="25"/>
  <c r="V127" i="25"/>
  <c r="V157" i="25"/>
  <c r="V117" i="25"/>
  <c r="V256" i="25"/>
  <c r="V212" i="25"/>
  <c r="V245" i="25"/>
  <c r="V234" i="25"/>
  <c r="V201" i="25"/>
  <c r="V223" i="25"/>
  <c r="V179" i="25"/>
  <c r="V190" i="25"/>
  <c r="V267" i="25"/>
  <c r="V310" i="25"/>
  <c r="V321" i="25"/>
  <c r="V288" i="25"/>
  <c r="V312" i="25"/>
  <c r="V323" i="25"/>
  <c r="V290" i="25"/>
  <c r="V301" i="25"/>
  <c r="V265" i="25"/>
  <c r="V165" i="25"/>
  <c r="V254" i="25"/>
  <c r="V188" i="25"/>
  <c r="V232" i="25"/>
  <c r="V221" i="25"/>
  <c r="V177" i="25"/>
  <c r="V199" i="25"/>
  <c r="H60" i="28"/>
  <c r="V155" i="25"/>
  <c r="M59" i="28"/>
  <c r="V299" i="25" s="1"/>
  <c r="V135" i="25"/>
  <c r="V115" i="25"/>
  <c r="J60" i="28"/>
  <c r="K59" i="28"/>
  <c r="V243" i="25" s="1"/>
  <c r="L60" i="28"/>
  <c r="M157" i="25"/>
  <c r="N127" i="25"/>
  <c r="N106" i="25"/>
  <c r="S319" i="25"/>
  <c r="S308" i="25"/>
  <c r="S297" i="25"/>
  <c r="S286" i="25"/>
  <c r="S274" i="25"/>
  <c r="S263" i="25"/>
  <c r="S252" i="25"/>
  <c r="S241" i="25"/>
  <c r="S230" i="25"/>
  <c r="S219" i="25"/>
  <c r="S208" i="25"/>
  <c r="S197" i="25"/>
  <c r="S186" i="25"/>
  <c r="S175" i="25"/>
  <c r="S163" i="25"/>
  <c r="S153" i="25"/>
  <c r="S143" i="25"/>
  <c r="S133" i="25"/>
  <c r="S123" i="25"/>
  <c r="S113" i="25"/>
  <c r="S102" i="25"/>
  <c r="S96" i="25"/>
  <c r="S84" i="25"/>
  <c r="S72" i="25"/>
  <c r="S77" i="25"/>
  <c r="S25" i="25"/>
  <c r="S24" i="25"/>
  <c r="S23" i="25"/>
  <c r="V124" i="25"/>
  <c r="V134" i="25"/>
  <c r="V144" i="25"/>
  <c r="V154" i="25"/>
  <c r="V164" i="25"/>
  <c r="V176" i="25"/>
  <c r="V187" i="25"/>
  <c r="V209" i="25"/>
  <c r="V198" i="25"/>
  <c r="V220" i="25"/>
  <c r="V231" i="25"/>
  <c r="V242" i="25"/>
  <c r="V253" i="25"/>
  <c r="A23" i="27"/>
  <c r="S86" i="25"/>
  <c r="S87" i="25"/>
  <c r="S88" i="25"/>
  <c r="M77" i="25"/>
  <c r="N77" i="25"/>
  <c r="M273" i="25"/>
  <c r="N273" i="25"/>
  <c r="M274" i="25"/>
  <c r="N274" i="25"/>
  <c r="M285" i="25"/>
  <c r="N285" i="25"/>
  <c r="M286" i="25"/>
  <c r="N286" i="25"/>
  <c r="M296" i="25"/>
  <c r="N296" i="25"/>
  <c r="M297" i="25"/>
  <c r="N297" i="25"/>
  <c r="M307" i="25"/>
  <c r="N307" i="25"/>
  <c r="M308" i="25"/>
  <c r="N308" i="25"/>
  <c r="M318" i="25"/>
  <c r="N318" i="25"/>
  <c r="M319" i="25"/>
  <c r="N319" i="25"/>
  <c r="M262" i="25"/>
  <c r="N262" i="25"/>
  <c r="M263" i="25"/>
  <c r="N263" i="25"/>
  <c r="M251" i="25"/>
  <c r="N251" i="25"/>
  <c r="M252" i="25"/>
  <c r="N252" i="25"/>
  <c r="M240" i="25"/>
  <c r="N240" i="25"/>
  <c r="M241" i="25"/>
  <c r="N241" i="25"/>
  <c r="M229" i="25"/>
  <c r="N229" i="25"/>
  <c r="M230" i="25"/>
  <c r="N230" i="25"/>
  <c r="M218" i="25"/>
  <c r="N218" i="25"/>
  <c r="M219" i="25"/>
  <c r="N219" i="25"/>
  <c r="M207" i="25"/>
  <c r="N207" i="25"/>
  <c r="M208" i="25"/>
  <c r="N208" i="25"/>
  <c r="M196" i="25"/>
  <c r="N196" i="25"/>
  <c r="M197" i="25"/>
  <c r="N197" i="25"/>
  <c r="M185" i="25"/>
  <c r="N185" i="25"/>
  <c r="M186" i="25"/>
  <c r="N186" i="25"/>
  <c r="M174" i="25"/>
  <c r="N174" i="25"/>
  <c r="M175" i="25"/>
  <c r="N175" i="25"/>
  <c r="M162" i="25"/>
  <c r="N162" i="25"/>
  <c r="M163" i="25"/>
  <c r="N163" i="25"/>
  <c r="M152" i="25"/>
  <c r="N152" i="25"/>
  <c r="M153" i="25"/>
  <c r="N153" i="25"/>
  <c r="M142" i="25"/>
  <c r="N142" i="25"/>
  <c r="M143" i="25"/>
  <c r="N143" i="25"/>
  <c r="M132" i="25"/>
  <c r="N132" i="25"/>
  <c r="M133" i="25"/>
  <c r="N133" i="25"/>
  <c r="M122" i="25"/>
  <c r="N122" i="25"/>
  <c r="M123" i="25"/>
  <c r="N123" i="25"/>
  <c r="M111" i="25"/>
  <c r="N111" i="25"/>
  <c r="M112" i="25"/>
  <c r="N112" i="25"/>
  <c r="M113" i="25"/>
  <c r="N113" i="25"/>
  <c r="M100" i="25"/>
  <c r="N100" i="25"/>
  <c r="M101" i="25"/>
  <c r="N101" i="25"/>
  <c r="M102" i="25"/>
  <c r="N102" i="25"/>
  <c r="M94" i="25"/>
  <c r="N94" i="25"/>
  <c r="M95" i="25"/>
  <c r="N95" i="25"/>
  <c r="M96" i="25"/>
  <c r="N96" i="25"/>
  <c r="M83" i="25"/>
  <c r="N83" i="25"/>
  <c r="M82" i="25"/>
  <c r="N82" i="25"/>
  <c r="M84" i="25"/>
  <c r="N84" i="25"/>
  <c r="M85" i="25"/>
  <c r="N85" i="25"/>
  <c r="J118" i="25" l="1"/>
  <c r="M118" i="25" s="1"/>
  <c r="N188" i="25"/>
  <c r="N222" i="25"/>
  <c r="N244" i="25"/>
  <c r="J235" i="25"/>
  <c r="N235" i="25" s="1"/>
  <c r="N104" i="25"/>
  <c r="N232" i="25"/>
  <c r="N255" i="25"/>
  <c r="N145" i="25"/>
  <c r="N178" i="25"/>
  <c r="M145" i="25"/>
  <c r="M136" i="25"/>
  <c r="J158" i="25"/>
  <c r="M158" i="25" s="1"/>
  <c r="N155" i="25"/>
  <c r="N136" i="25"/>
  <c r="J246" i="25"/>
  <c r="M246" i="25" s="1"/>
  <c r="S246" i="25" s="1"/>
  <c r="N243" i="25"/>
  <c r="M135" i="25"/>
  <c r="N135" i="25"/>
  <c r="N166" i="25"/>
  <c r="N221" i="25"/>
  <c r="N105" i="25"/>
  <c r="N115" i="25"/>
  <c r="J138" i="25"/>
  <c r="N138" i="25" s="1"/>
  <c r="M146" i="25"/>
  <c r="N126" i="25"/>
  <c r="M116" i="25"/>
  <c r="J107" i="25"/>
  <c r="N107" i="25" s="1"/>
  <c r="N146" i="25"/>
  <c r="N116" i="25"/>
  <c r="M126" i="25"/>
  <c r="N254" i="25"/>
  <c r="N165" i="25"/>
  <c r="J224" i="25"/>
  <c r="N224" i="25" s="1"/>
  <c r="N210" i="25"/>
  <c r="J257" i="25"/>
  <c r="M257" i="25" s="1"/>
  <c r="S257" i="25" s="1"/>
  <c r="M189" i="25"/>
  <c r="N211" i="25"/>
  <c r="J168" i="25"/>
  <c r="M168" i="25" s="1"/>
  <c r="S168" i="25" s="1"/>
  <c r="J213" i="25"/>
  <c r="M213" i="25" s="1"/>
  <c r="S213" i="25" s="1"/>
  <c r="J202" i="25"/>
  <c r="N202" i="25" s="1"/>
  <c r="N266" i="25"/>
  <c r="J268" i="25"/>
  <c r="N268" i="25" s="1"/>
  <c r="M200" i="25"/>
  <c r="J180" i="25"/>
  <c r="N180" i="25" s="1"/>
  <c r="M177" i="25"/>
  <c r="J191" i="25"/>
  <c r="M191" i="25" s="1"/>
  <c r="S191" i="25" s="1"/>
  <c r="N265" i="25"/>
  <c r="N149" i="25"/>
  <c r="M149" i="25"/>
  <c r="M128" i="25"/>
  <c r="N128" i="25"/>
  <c r="N323" i="25"/>
  <c r="N312" i="25"/>
  <c r="N278" i="25"/>
  <c r="J322" i="25"/>
  <c r="M322" i="25" s="1"/>
  <c r="J300" i="25"/>
  <c r="M300" i="25" s="1"/>
  <c r="J311" i="25"/>
  <c r="M311" i="25" s="1"/>
  <c r="J277" i="25"/>
  <c r="M277" i="25" s="1"/>
  <c r="M310" i="25"/>
  <c r="J291" i="25"/>
  <c r="N289" i="25"/>
  <c r="M276" i="25"/>
  <c r="N276" i="25"/>
  <c r="M321" i="25"/>
  <c r="N321" i="25"/>
  <c r="N310" i="25"/>
  <c r="N299" i="25"/>
  <c r="M299" i="25"/>
  <c r="M288" i="25"/>
  <c r="N288" i="25"/>
  <c r="V289" i="25"/>
  <c r="V277" i="25"/>
  <c r="V322" i="25"/>
  <c r="V300" i="25"/>
  <c r="V311" i="25"/>
  <c r="V210" i="25"/>
  <c r="V276" i="25"/>
  <c r="V255" i="25"/>
  <c r="V211" i="25"/>
  <c r="V166" i="25"/>
  <c r="V233" i="25"/>
  <c r="V244" i="25"/>
  <c r="V189" i="25"/>
  <c r="V222" i="25"/>
  <c r="V178" i="25"/>
  <c r="V266" i="25"/>
  <c r="V200" i="25"/>
  <c r="V146" i="25"/>
  <c r="V156" i="25"/>
  <c r="V116" i="25"/>
  <c r="V105" i="25"/>
  <c r="V126" i="25"/>
  <c r="V136" i="25"/>
  <c r="M137" i="25"/>
  <c r="N137" i="25"/>
  <c r="M147" i="25"/>
  <c r="N147" i="25"/>
  <c r="M156" i="25"/>
  <c r="M71" i="25"/>
  <c r="N71" i="25"/>
  <c r="M72" i="25"/>
  <c r="N72" i="25"/>
  <c r="M69" i="25"/>
  <c r="N69" i="25"/>
  <c r="M70" i="25"/>
  <c r="N70" i="25"/>
  <c r="S70" i="25"/>
  <c r="M63" i="25"/>
  <c r="N63" i="25"/>
  <c r="M64" i="25"/>
  <c r="N64" i="25"/>
  <c r="M65" i="25"/>
  <c r="S65" i="25" s="1"/>
  <c r="N65" i="25"/>
  <c r="S62" i="25"/>
  <c r="J58" i="25"/>
  <c r="M235" i="25" l="1"/>
  <c r="S235" i="25" s="1"/>
  <c r="N118" i="25"/>
  <c r="M180" i="25"/>
  <c r="S180" i="25" s="1"/>
  <c r="M224" i="25"/>
  <c r="S224" i="25" s="1"/>
  <c r="N257" i="25"/>
  <c r="N246" i="25"/>
  <c r="N158" i="25"/>
  <c r="J313" i="25"/>
  <c r="M313" i="25" s="1"/>
  <c r="S313" i="25" s="1"/>
  <c r="M138" i="25"/>
  <c r="M107" i="25"/>
  <c r="M202" i="25"/>
  <c r="S202" i="25" s="1"/>
  <c r="N213" i="25"/>
  <c r="N168" i="25"/>
  <c r="M268" i="25"/>
  <c r="S268" i="25" s="1"/>
  <c r="N191" i="25"/>
  <c r="J302" i="25"/>
  <c r="M302" i="25" s="1"/>
  <c r="S302" i="25" s="1"/>
  <c r="N277" i="25"/>
  <c r="N311" i="25"/>
  <c r="N300" i="25"/>
  <c r="J324" i="25"/>
  <c r="J279" i="25"/>
  <c r="M279" i="25" s="1"/>
  <c r="S279" i="25" s="1"/>
  <c r="N322" i="25"/>
  <c r="N291" i="25"/>
  <c r="M291" i="25"/>
  <c r="S291" i="25" s="1"/>
  <c r="N313" i="25" l="1"/>
  <c r="N302" i="25"/>
  <c r="N324" i="25"/>
  <c r="M324" i="25"/>
  <c r="S324" i="25" s="1"/>
  <c r="N279" i="25"/>
  <c r="M60" i="25"/>
  <c r="N60" i="25"/>
  <c r="M61" i="25"/>
  <c r="N61" i="25"/>
  <c r="M62" i="25"/>
  <c r="N62" i="25"/>
  <c r="M66" i="25"/>
  <c r="S66" i="25" s="1"/>
  <c r="N66" i="25"/>
  <c r="M58" i="25"/>
  <c r="N58" i="25"/>
  <c r="M59" i="25"/>
  <c r="N59" i="25"/>
  <c r="M54" i="25"/>
  <c r="N54" i="25"/>
  <c r="M55" i="25"/>
  <c r="N55" i="25"/>
  <c r="M56" i="25"/>
  <c r="N56" i="25"/>
  <c r="S51" i="25"/>
  <c r="J48" i="25"/>
  <c r="M48" i="25" s="1"/>
  <c r="J47" i="25"/>
  <c r="M47" i="25" s="1"/>
  <c r="M49" i="25"/>
  <c r="N49" i="25"/>
  <c r="M50" i="25"/>
  <c r="N50" i="25"/>
  <c r="M51" i="25"/>
  <c r="S52" i="25" s="1"/>
  <c r="N51" i="25"/>
  <c r="M52" i="25"/>
  <c r="N52" i="25"/>
  <c r="M53" i="25"/>
  <c r="N53" i="25"/>
  <c r="M41" i="25"/>
  <c r="N41" i="25"/>
  <c r="M42" i="25"/>
  <c r="N42" i="25"/>
  <c r="M38" i="25"/>
  <c r="N37" i="25"/>
  <c r="N38" i="25"/>
  <c r="M37" i="25"/>
  <c r="S37" i="25" s="1"/>
  <c r="N48" i="25" l="1"/>
  <c r="N47" i="25"/>
  <c r="S32" i="25" l="1"/>
  <c r="S31" i="25"/>
  <c r="S30" i="25"/>
  <c r="S29" i="25"/>
  <c r="S27" i="25"/>
  <c r="S26" i="25"/>
  <c r="M29" i="25"/>
  <c r="N29" i="25"/>
  <c r="M30" i="25"/>
  <c r="N30" i="25"/>
  <c r="M24" i="25"/>
  <c r="N24" i="25"/>
  <c r="M25" i="25"/>
  <c r="N25" i="25"/>
  <c r="M26" i="25"/>
  <c r="N26" i="25"/>
  <c r="M27" i="25"/>
  <c r="N27" i="25"/>
  <c r="M28" i="25"/>
  <c r="N28" i="25"/>
  <c r="M22" i="25"/>
  <c r="N22" i="25"/>
  <c r="S19" i="25"/>
  <c r="S17" i="25" l="1"/>
  <c r="S16" i="25"/>
  <c r="N144" i="25" l="1"/>
  <c r="M144" i="25"/>
  <c r="N114" i="25"/>
  <c r="M114" i="25"/>
  <c r="N124" i="25"/>
  <c r="M124" i="25"/>
  <c r="N301" i="25"/>
  <c r="M301" i="25"/>
  <c r="N267" i="25"/>
  <c r="M267" i="25"/>
  <c r="N234" i="25"/>
  <c r="M234" i="25"/>
  <c r="N199" i="25"/>
  <c r="M199" i="25"/>
  <c r="N167" i="25"/>
  <c r="M167" i="25"/>
  <c r="N134" i="25"/>
  <c r="M134" i="25" l="1"/>
  <c r="N103" i="25" l="1"/>
  <c r="M103" i="25"/>
  <c r="N317" i="25"/>
  <c r="M317" i="25"/>
  <c r="N306" i="25"/>
  <c r="M306" i="25"/>
  <c r="N295" i="25"/>
  <c r="M295" i="25"/>
  <c r="N284" i="25"/>
  <c r="M284" i="25"/>
  <c r="N272" i="25"/>
  <c r="M272" i="25"/>
  <c r="N261" i="25"/>
  <c r="M261" i="25"/>
  <c r="N250" i="25"/>
  <c r="M250" i="25"/>
  <c r="N239" i="25"/>
  <c r="M239" i="25"/>
  <c r="N228" i="25"/>
  <c r="M228" i="25"/>
  <c r="N217" i="25"/>
  <c r="M217" i="25"/>
  <c r="N206" i="25"/>
  <c r="M206" i="25"/>
  <c r="N195" i="25"/>
  <c r="M195" i="25"/>
  <c r="N184" i="25"/>
  <c r="M184" i="25"/>
  <c r="N173" i="25"/>
  <c r="M173" i="25"/>
  <c r="N161" i="25"/>
  <c r="M161" i="25"/>
  <c r="N151" i="25"/>
  <c r="M151" i="25"/>
  <c r="N141" i="25"/>
  <c r="M141" i="25"/>
  <c r="N131" i="25"/>
  <c r="M131" i="25"/>
  <c r="N121" i="25"/>
  <c r="M121" i="25"/>
  <c r="N110" i="25"/>
  <c r="M110" i="25"/>
  <c r="N99" i="25"/>
  <c r="M99" i="25"/>
  <c r="N93" i="25"/>
  <c r="M93" i="25"/>
  <c r="N81" i="25"/>
  <c r="M81" i="25"/>
  <c r="N75" i="25" l="1"/>
  <c r="M78" i="25"/>
  <c r="N78" i="25"/>
  <c r="N76" i="25"/>
  <c r="M76" i="25"/>
  <c r="M75" i="25"/>
  <c r="M68" i="25" l="1"/>
  <c r="N68" i="25"/>
  <c r="N67" i="25"/>
  <c r="M67" i="25"/>
  <c r="M34" i="25" l="1"/>
  <c r="N34" i="25"/>
  <c r="M35" i="25"/>
  <c r="N35" i="25"/>
  <c r="M36" i="25"/>
  <c r="N36" i="25"/>
  <c r="M39" i="25"/>
  <c r="N39" i="25"/>
  <c r="M40" i="25"/>
  <c r="N40" i="25"/>
  <c r="M43" i="25"/>
  <c r="N43" i="25"/>
  <c r="M44" i="25"/>
  <c r="N44" i="25"/>
  <c r="M45" i="25"/>
  <c r="N45" i="25"/>
  <c r="M46" i="25"/>
  <c r="N46" i="25"/>
  <c r="N33" i="25"/>
  <c r="M33" i="25"/>
  <c r="S33" i="25" s="1"/>
  <c r="S20" i="25" l="1"/>
  <c r="C23" i="23" l="1"/>
  <c r="C20" i="23"/>
  <c r="F109" i="25"/>
  <c r="C19" i="23" s="1"/>
  <c r="C18" i="23"/>
  <c r="C17" i="23"/>
  <c r="F80" i="25"/>
  <c r="C16" i="23" s="1"/>
  <c r="F73" i="25"/>
  <c r="C15" i="23" s="1"/>
  <c r="F57" i="25"/>
  <c r="C14" i="23" s="1"/>
  <c r="F260" i="25"/>
  <c r="C33" i="23" s="1"/>
  <c r="F10" i="23"/>
  <c r="F38" i="23" s="1"/>
  <c r="D316" i="25"/>
  <c r="D305" i="25"/>
  <c r="D294" i="25"/>
  <c r="D283" i="25"/>
  <c r="D327" i="25"/>
  <c r="D271" i="25"/>
  <c r="D260" i="25"/>
  <c r="D249" i="25"/>
  <c r="D238" i="25"/>
  <c r="D227" i="25"/>
  <c r="D216" i="25"/>
  <c r="D205" i="25"/>
  <c r="D194" i="25"/>
  <c r="D183" i="25"/>
  <c r="D172" i="25"/>
  <c r="D160" i="25"/>
  <c r="D150" i="25"/>
  <c r="D140" i="25"/>
  <c r="D109" i="25"/>
  <c r="D80" i="25"/>
  <c r="N74" i="25"/>
  <c r="M74" i="25"/>
  <c r="N12" i="25"/>
  <c r="N13" i="25"/>
  <c r="N14" i="25"/>
  <c r="N15" i="25"/>
  <c r="N16" i="25"/>
  <c r="N17" i="25"/>
  <c r="N18" i="25"/>
  <c r="N19" i="25"/>
  <c r="N20" i="25"/>
  <c r="N21" i="25"/>
  <c r="N23" i="25"/>
  <c r="N31" i="25"/>
  <c r="N32" i="25"/>
  <c r="N79" i="25"/>
  <c r="N11" i="25"/>
  <c r="M79" i="25"/>
  <c r="M12" i="25"/>
  <c r="M13" i="25"/>
  <c r="M14" i="25"/>
  <c r="M15" i="25"/>
  <c r="M16" i="25"/>
  <c r="M17" i="25"/>
  <c r="M18" i="25"/>
  <c r="M19" i="25"/>
  <c r="M20" i="25"/>
  <c r="M21" i="25"/>
  <c r="M23" i="25"/>
  <c r="M31" i="25"/>
  <c r="M32" i="25"/>
  <c r="M11" i="25"/>
  <c r="D73" i="25"/>
  <c r="F37" i="23" l="1"/>
  <c r="C21" i="23"/>
  <c r="C22" i="23"/>
  <c r="F160" i="25"/>
  <c r="C24" i="23" s="1"/>
  <c r="F271" i="25"/>
  <c r="C34" i="23" s="1"/>
  <c r="F294" i="25"/>
  <c r="C36" i="23" s="1"/>
  <c r="F283" i="25"/>
  <c r="C35" i="23" s="1"/>
  <c r="C26" i="23"/>
  <c r="F205" i="25"/>
  <c r="C28" i="23" s="1"/>
  <c r="F305" i="25"/>
  <c r="C37" i="23" s="1"/>
  <c r="F194" i="25"/>
  <c r="C27" i="23" s="1"/>
  <c r="F216" i="25"/>
  <c r="C29" i="23" s="1"/>
  <c r="C30" i="23"/>
  <c r="C25" i="23"/>
  <c r="F316" i="25"/>
  <c r="C38" i="23" s="1"/>
  <c r="F238" i="25"/>
  <c r="C31" i="23" s="1"/>
  <c r="F249" i="25"/>
  <c r="C32" i="23" s="1"/>
  <c r="F327" i="25"/>
  <c r="C39" i="23" s="1"/>
  <c r="F36" i="23"/>
  <c r="F32" i="23"/>
  <c r="F35" i="23"/>
  <c r="F34" i="23"/>
  <c r="F39" i="23"/>
  <c r="F33" i="23"/>
  <c r="D57" i="25"/>
  <c r="F29" i="23"/>
  <c r="F21" i="23"/>
  <c r="F14" i="23"/>
  <c r="F15" i="23"/>
  <c r="F24" i="23"/>
  <c r="F30" i="23"/>
  <c r="F23" i="23"/>
  <c r="F17" i="23"/>
  <c r="F18" i="23"/>
  <c r="F26" i="23"/>
  <c r="F20" i="23"/>
  <c r="F27" i="23"/>
  <c r="F19" i="23"/>
  <c r="F25" i="23"/>
  <c r="F31" i="23"/>
  <c r="F16" i="23"/>
  <c r="F22" i="23"/>
  <c r="F28" i="23"/>
  <c r="E283" i="25" l="1"/>
  <c r="D35" i="23" s="1"/>
  <c r="E35" i="23" s="1"/>
  <c r="G35" i="23" s="1"/>
  <c r="E294" i="25"/>
  <c r="D36" i="23" s="1"/>
  <c r="E36" i="23" s="1"/>
  <c r="G36" i="23" s="1"/>
  <c r="C40" i="23"/>
  <c r="E260" i="25"/>
  <c r="D33" i="23" s="1"/>
  <c r="E33" i="23" s="1"/>
  <c r="G33" i="23" s="1"/>
  <c r="E227" i="25"/>
  <c r="D30" i="23" s="1"/>
  <c r="E30" i="23" s="1"/>
  <c r="G30" i="23" s="1"/>
  <c r="E205" i="25"/>
  <c r="D28" i="23" s="1"/>
  <c r="E28" i="23" s="1"/>
  <c r="G28" i="23" s="1"/>
  <c r="E172" i="25"/>
  <c r="D25" i="23" s="1"/>
  <c r="E25" i="23" s="1"/>
  <c r="G25" i="23" s="1"/>
  <c r="E160" i="25"/>
  <c r="D24" i="23" s="1"/>
  <c r="E24" i="23" s="1"/>
  <c r="G24" i="23" s="1"/>
  <c r="E327" i="25"/>
  <c r="D39" i="23" s="1"/>
  <c r="E39" i="23" s="1"/>
  <c r="G39" i="23" s="1"/>
  <c r="E316" i="25"/>
  <c r="D38" i="23" s="1"/>
  <c r="E38" i="23" s="1"/>
  <c r="G38" i="23" s="1"/>
  <c r="E305" i="25"/>
  <c r="D37" i="23" s="1"/>
  <c r="E37" i="23" s="1"/>
  <c r="G37" i="23" s="1"/>
  <c r="E271" i="25"/>
  <c r="D34" i="23" s="1"/>
  <c r="E34" i="23" s="1"/>
  <c r="G34" i="23" s="1"/>
  <c r="E249" i="25"/>
  <c r="D32" i="23" s="1"/>
  <c r="E32" i="23" s="1"/>
  <c r="G32" i="23" s="1"/>
  <c r="E120" i="25"/>
  <c r="D20" i="23" s="1"/>
  <c r="E20" i="23" s="1"/>
  <c r="G20" i="23" s="1"/>
  <c r="E130" i="25"/>
  <c r="D21" i="23" s="1"/>
  <c r="E21" i="23" s="1"/>
  <c r="G21" i="23" s="1"/>
  <c r="E140" i="25"/>
  <c r="D22" i="23" s="1"/>
  <c r="E22" i="23" s="1"/>
  <c r="G22" i="23" s="1"/>
  <c r="E238" i="25"/>
  <c r="D31" i="23" s="1"/>
  <c r="E31" i="23" s="1"/>
  <c r="G31" i="23" s="1"/>
  <c r="E109" i="25"/>
  <c r="D19" i="23" s="1"/>
  <c r="E19" i="23" s="1"/>
  <c r="G19" i="23" s="1"/>
  <c r="E150" i="25"/>
  <c r="D23" i="23" s="1"/>
  <c r="E23" i="23" s="1"/>
  <c r="G23" i="23" s="1"/>
  <c r="E216" i="25"/>
  <c r="D29" i="23" s="1"/>
  <c r="E29" i="23" s="1"/>
  <c r="G29" i="23" s="1"/>
  <c r="E183" i="25"/>
  <c r="D26" i="23" s="1"/>
  <c r="E26" i="23" s="1"/>
  <c r="G26" i="23" s="1"/>
  <c r="E194" i="25"/>
  <c r="D27" i="23" s="1"/>
  <c r="E27" i="23" s="1"/>
  <c r="G27" i="23" s="1"/>
  <c r="E92" i="25"/>
  <c r="D17" i="23" s="1"/>
  <c r="E17" i="23" s="1"/>
  <c r="G17" i="23" s="1"/>
  <c r="D18" i="23"/>
  <c r="E18" i="23" s="1"/>
  <c r="G18" i="23" s="1"/>
  <c r="E80" i="25"/>
  <c r="D16" i="23" s="1"/>
  <c r="E16" i="23" s="1"/>
  <c r="G16" i="23" s="1"/>
  <c r="E73" i="25"/>
  <c r="D15" i="23" s="1"/>
  <c r="E15" i="23" s="1"/>
  <c r="G15" i="23" s="1"/>
  <c r="E57" i="25"/>
  <c r="D14" i="23" s="1"/>
  <c r="D40" i="23" l="1"/>
  <c r="E14" i="23"/>
  <c r="E40" i="23" s="1"/>
  <c r="AB45" i="17"/>
  <c r="AC45" i="10"/>
  <c r="AD45" i="10"/>
  <c r="AE45" i="10"/>
  <c r="AC45" i="11"/>
  <c r="AD45" i="11"/>
  <c r="AC45" i="12"/>
  <c r="AD45" i="12"/>
  <c r="AE45" i="12"/>
  <c r="AC45" i="13"/>
  <c r="AD45" i="13"/>
  <c r="AC45" i="14"/>
  <c r="AD45" i="14"/>
  <c r="AE45" i="14"/>
  <c r="AC45" i="15"/>
  <c r="AD45" i="15"/>
  <c r="AE45" i="15"/>
  <c r="AC45" i="16"/>
  <c r="AD45" i="16"/>
  <c r="AC45" i="17"/>
  <c r="AD45" i="17"/>
  <c r="AE45" i="17"/>
  <c r="AC45" i="18"/>
  <c r="AD45" i="18"/>
  <c r="AG6" i="19"/>
  <c r="AG29" i="19"/>
  <c r="AG34" i="19"/>
  <c r="AG37" i="19"/>
  <c r="AG40" i="19"/>
  <c r="AG44" i="19"/>
  <c r="AC45" i="19"/>
  <c r="AD45" i="19"/>
  <c r="AE45" i="19"/>
  <c r="AF45" i="19"/>
  <c r="AB45" i="19"/>
  <c r="AG6" i="10"/>
  <c r="B45" i="19"/>
  <c r="C45" i="19"/>
  <c r="D45" i="19"/>
  <c r="E45" i="19"/>
  <c r="F45" i="19"/>
  <c r="G45" i="19"/>
  <c r="H45" i="19"/>
  <c r="I45" i="19"/>
  <c r="J45" i="19"/>
  <c r="K45" i="19"/>
  <c r="L45" i="19"/>
  <c r="M45" i="19"/>
  <c r="N45" i="19"/>
  <c r="O45" i="19"/>
  <c r="P45" i="19"/>
  <c r="Q45" i="19"/>
  <c r="R45" i="19"/>
  <c r="S45" i="19"/>
  <c r="T45" i="19"/>
  <c r="U45" i="19"/>
  <c r="V45" i="19"/>
  <c r="W45" i="19"/>
  <c r="X45" i="19"/>
  <c r="Y45" i="19"/>
  <c r="Z45" i="19"/>
  <c r="AA45" i="19"/>
  <c r="AG24" i="19"/>
  <c r="AG19" i="19"/>
  <c r="AG14" i="19"/>
  <c r="AG10" i="19"/>
  <c r="B45" i="18"/>
  <c r="C45" i="18"/>
  <c r="D45" i="18"/>
  <c r="E45" i="18"/>
  <c r="F45" i="18"/>
  <c r="G45" i="18"/>
  <c r="H45" i="18"/>
  <c r="I45" i="18"/>
  <c r="J45" i="18"/>
  <c r="K45" i="18"/>
  <c r="L45" i="18"/>
  <c r="M45" i="18"/>
  <c r="N45" i="18"/>
  <c r="O45" i="18"/>
  <c r="P45" i="18"/>
  <c r="Q45" i="18"/>
  <c r="R45" i="18"/>
  <c r="S45" i="18"/>
  <c r="T45" i="18"/>
  <c r="U45" i="18"/>
  <c r="V45" i="18"/>
  <c r="W45" i="18"/>
  <c r="X45" i="18"/>
  <c r="Y45" i="18"/>
  <c r="Z45" i="18"/>
  <c r="AA45" i="18"/>
  <c r="AB45" i="18"/>
  <c r="AE45" i="18"/>
  <c r="AF44" i="18"/>
  <c r="AF40" i="18"/>
  <c r="AF37" i="18"/>
  <c r="AF34" i="18"/>
  <c r="AF29" i="18"/>
  <c r="AF24" i="18"/>
  <c r="AF19" i="18"/>
  <c r="AF14" i="18"/>
  <c r="AF10" i="18"/>
  <c r="AF6" i="18"/>
  <c r="B45" i="17"/>
  <c r="C45" i="17"/>
  <c r="D45" i="17"/>
  <c r="E45" i="17"/>
  <c r="F45" i="17"/>
  <c r="G45" i="17"/>
  <c r="H45" i="17"/>
  <c r="I45" i="17"/>
  <c r="J45" i="17"/>
  <c r="K45" i="17"/>
  <c r="L45" i="17"/>
  <c r="M45" i="17"/>
  <c r="N45" i="17"/>
  <c r="O45" i="17"/>
  <c r="P45" i="17"/>
  <c r="Q45" i="17"/>
  <c r="R45" i="17"/>
  <c r="S45" i="17"/>
  <c r="T45" i="17"/>
  <c r="U45" i="17"/>
  <c r="V45" i="17"/>
  <c r="W45" i="17"/>
  <c r="X45" i="17"/>
  <c r="Y45" i="17"/>
  <c r="Z45" i="17"/>
  <c r="AA45" i="17"/>
  <c r="AF45" i="17"/>
  <c r="AG44" i="17"/>
  <c r="AG40" i="17"/>
  <c r="AG37" i="17"/>
  <c r="AG34" i="17"/>
  <c r="AG29" i="17"/>
  <c r="AG24" i="17"/>
  <c r="AG19" i="17"/>
  <c r="AG14" i="17"/>
  <c r="AG10" i="17"/>
  <c r="AG6" i="17"/>
  <c r="B45" i="16"/>
  <c r="C45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Q45" i="16"/>
  <c r="R45" i="16"/>
  <c r="S45" i="16"/>
  <c r="T45" i="16"/>
  <c r="U45" i="16"/>
  <c r="V45" i="16"/>
  <c r="W45" i="16"/>
  <c r="X45" i="16"/>
  <c r="Y45" i="16"/>
  <c r="Z45" i="16"/>
  <c r="AA45" i="16"/>
  <c r="AB45" i="16"/>
  <c r="AE45" i="16"/>
  <c r="AF44" i="16"/>
  <c r="AF40" i="16"/>
  <c r="AF37" i="16"/>
  <c r="AF34" i="16"/>
  <c r="AF29" i="16"/>
  <c r="AF24" i="16"/>
  <c r="AF19" i="16"/>
  <c r="AF14" i="16"/>
  <c r="AF10" i="16"/>
  <c r="AF6" i="16"/>
  <c r="B45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O45" i="15"/>
  <c r="P45" i="15"/>
  <c r="Q45" i="15"/>
  <c r="R45" i="15"/>
  <c r="S45" i="15"/>
  <c r="T45" i="15"/>
  <c r="U45" i="15"/>
  <c r="V45" i="15"/>
  <c r="W45" i="15"/>
  <c r="X45" i="15"/>
  <c r="Y45" i="15"/>
  <c r="Z45" i="15"/>
  <c r="AA45" i="15"/>
  <c r="AB45" i="15"/>
  <c r="AF45" i="15"/>
  <c r="AG44" i="15"/>
  <c r="AG40" i="15"/>
  <c r="AG37" i="15"/>
  <c r="AG34" i="15"/>
  <c r="AG29" i="15"/>
  <c r="AG24" i="15"/>
  <c r="AG19" i="15"/>
  <c r="AG14" i="15"/>
  <c r="AG10" i="15"/>
  <c r="AG6" i="15"/>
  <c r="B45" i="14"/>
  <c r="C45" i="14"/>
  <c r="D45" i="14"/>
  <c r="E45" i="14"/>
  <c r="F45" i="14"/>
  <c r="G45" i="14"/>
  <c r="H45" i="14"/>
  <c r="I45" i="14"/>
  <c r="J45" i="14"/>
  <c r="K45" i="14"/>
  <c r="L45" i="14"/>
  <c r="M45" i="14"/>
  <c r="N45" i="14"/>
  <c r="O45" i="14"/>
  <c r="P45" i="14"/>
  <c r="Q45" i="14"/>
  <c r="R45" i="14"/>
  <c r="S45" i="14"/>
  <c r="T45" i="14"/>
  <c r="U45" i="14"/>
  <c r="V45" i="14"/>
  <c r="W45" i="14"/>
  <c r="X45" i="14"/>
  <c r="Y45" i="14"/>
  <c r="Z45" i="14"/>
  <c r="AA45" i="14"/>
  <c r="AB45" i="14"/>
  <c r="AF45" i="14"/>
  <c r="AG44" i="14"/>
  <c r="AG40" i="14"/>
  <c r="AG37" i="14"/>
  <c r="AG34" i="14"/>
  <c r="AG29" i="14"/>
  <c r="AG24" i="14"/>
  <c r="AG19" i="14"/>
  <c r="AG14" i="14"/>
  <c r="AG10" i="14"/>
  <c r="AG6" i="14"/>
  <c r="B45" i="13"/>
  <c r="C45" i="13"/>
  <c r="D45" i="13"/>
  <c r="E45" i="13"/>
  <c r="F45" i="13"/>
  <c r="G45" i="13"/>
  <c r="H45" i="13"/>
  <c r="I45" i="13"/>
  <c r="J45" i="13"/>
  <c r="K45" i="13"/>
  <c r="L45" i="13"/>
  <c r="M45" i="13"/>
  <c r="N45" i="13"/>
  <c r="O45" i="13"/>
  <c r="P45" i="13"/>
  <c r="Q45" i="13"/>
  <c r="R45" i="13"/>
  <c r="S45" i="13"/>
  <c r="T45" i="13"/>
  <c r="U45" i="13"/>
  <c r="V45" i="13"/>
  <c r="W45" i="13"/>
  <c r="X45" i="13"/>
  <c r="Y45" i="13"/>
  <c r="Z45" i="13"/>
  <c r="AA45" i="13"/>
  <c r="AB45" i="13"/>
  <c r="AE45" i="13"/>
  <c r="AF44" i="13"/>
  <c r="AF40" i="13"/>
  <c r="AF37" i="13"/>
  <c r="AF34" i="13"/>
  <c r="AF29" i="13"/>
  <c r="AF24" i="13"/>
  <c r="AF19" i="13"/>
  <c r="AF14" i="13"/>
  <c r="AF10" i="13"/>
  <c r="AF6" i="13"/>
  <c r="B45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R45" i="12"/>
  <c r="S45" i="12"/>
  <c r="T45" i="12"/>
  <c r="U45" i="12"/>
  <c r="V45" i="12"/>
  <c r="W45" i="12"/>
  <c r="X45" i="12"/>
  <c r="Y45" i="12"/>
  <c r="Z45" i="12"/>
  <c r="AA45" i="12"/>
  <c r="AB45" i="12"/>
  <c r="AF45" i="12"/>
  <c r="AG44" i="12"/>
  <c r="AG40" i="12"/>
  <c r="AG37" i="12"/>
  <c r="AG34" i="12"/>
  <c r="AG29" i="12"/>
  <c r="AG24" i="12"/>
  <c r="AG19" i="12"/>
  <c r="AG14" i="12"/>
  <c r="AG10" i="12"/>
  <c r="AG6" i="12"/>
  <c r="B45" i="11"/>
  <c r="AF45" i="11" s="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X45" i="11"/>
  <c r="Y45" i="11"/>
  <c r="Z45" i="11"/>
  <c r="AA45" i="11"/>
  <c r="AB45" i="11"/>
  <c r="AE45" i="11"/>
  <c r="AF44" i="11"/>
  <c r="AF40" i="11"/>
  <c r="AF37" i="11"/>
  <c r="AF34" i="11"/>
  <c r="AF29" i="11"/>
  <c r="AF24" i="11"/>
  <c r="AF19" i="11"/>
  <c r="AF14" i="11"/>
  <c r="AF10" i="11"/>
  <c r="AF6" i="11"/>
  <c r="B45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AB45" i="10"/>
  <c r="AF45" i="10"/>
  <c r="AG44" i="10"/>
  <c r="AG40" i="10"/>
  <c r="AG37" i="10"/>
  <c r="AG34" i="10"/>
  <c r="AG29" i="10"/>
  <c r="AG24" i="10"/>
  <c r="AG19" i="10"/>
  <c r="AG14" i="10"/>
  <c r="AG10" i="10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V45" i="9"/>
  <c r="W45" i="9"/>
  <c r="X45" i="9"/>
  <c r="Y45" i="9"/>
  <c r="Z45" i="9"/>
  <c r="AA45" i="9"/>
  <c r="AB45" i="9"/>
  <c r="AC45" i="9"/>
  <c r="AD44" i="9"/>
  <c r="AD40" i="9"/>
  <c r="AD37" i="9"/>
  <c r="AD34" i="9"/>
  <c r="AD29" i="9"/>
  <c r="AD24" i="9"/>
  <c r="AD19" i="9"/>
  <c r="AD14" i="9"/>
  <c r="AD10" i="9"/>
  <c r="AD6" i="9"/>
  <c r="AG6" i="1"/>
  <c r="AG10" i="1"/>
  <c r="AG14" i="1"/>
  <c r="L45" i="1"/>
  <c r="B45" i="1"/>
  <c r="M45" i="1"/>
  <c r="C45" i="1"/>
  <c r="D45" i="1"/>
  <c r="E45" i="1"/>
  <c r="F45" i="1"/>
  <c r="G45" i="1"/>
  <c r="H45" i="1"/>
  <c r="I45" i="1"/>
  <c r="J45" i="1"/>
  <c r="K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4" i="1"/>
  <c r="AG40" i="1"/>
  <c r="AG37" i="1"/>
  <c r="AG34" i="1"/>
  <c r="AG29" i="1"/>
  <c r="AG24" i="1"/>
  <c r="AG19" i="1"/>
  <c r="G14" i="23" l="1"/>
  <c r="G40" i="23" s="1"/>
  <c r="AG45" i="15"/>
  <c r="AG45" i="19"/>
  <c r="AG45" i="12"/>
  <c r="AF45" i="13"/>
  <c r="AG45" i="17"/>
  <c r="AF45" i="16"/>
  <c r="AG45" i="10"/>
  <c r="AG45" i="14"/>
  <c r="AF45" i="18"/>
  <c r="AD45" i="9"/>
  <c r="AG45" i="1"/>
  <c r="G41" i="2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V23" authorId="0" shapeId="0" xr:uid="{646B7E21-BF41-4EE8-8EA3-4732E57DCDC6}">
      <text>
        <r>
          <rPr>
            <b/>
            <sz val="9"/>
            <color indexed="81"/>
            <rFont val="Segoe UI"/>
            <family val="2"/>
          </rPr>
          <t>admin:</t>
        </r>
        <r>
          <rPr>
            <sz val="9"/>
            <color indexed="81"/>
            <rFont val="Segoe UI"/>
            <family val="2"/>
          </rPr>
          <t xml:space="preserve">
Bitte Anzahl und Kosten ergänzen</t>
        </r>
      </text>
    </comment>
    <comment ref="V31" authorId="0" shapeId="0" xr:uid="{8060BC11-DB01-4C24-A08F-680A4A897A9E}">
      <text>
        <r>
          <rPr>
            <b/>
            <sz val="9"/>
            <color indexed="81"/>
            <rFont val="Segoe UI"/>
            <family val="2"/>
          </rPr>
          <t>admin:</t>
        </r>
        <r>
          <rPr>
            <sz val="9"/>
            <color indexed="81"/>
            <rFont val="Segoe UI"/>
            <family val="2"/>
          </rPr>
          <t xml:space="preserve">
Bitte Anzahl und Kosten ergänzen</t>
        </r>
      </text>
    </comment>
  </commentList>
</comments>
</file>

<file path=xl/sharedStrings.xml><?xml version="1.0" encoding="utf-8"?>
<sst xmlns="http://schemas.openxmlformats.org/spreadsheetml/2006/main" count="2690" uniqueCount="836">
  <si>
    <t>Lebensmittel</t>
  </si>
  <si>
    <t>auswärts essen</t>
  </si>
  <si>
    <t>Kleidung</t>
  </si>
  <si>
    <t>Transport</t>
  </si>
  <si>
    <t>Freizeit</t>
  </si>
  <si>
    <t>Bildung</t>
  </si>
  <si>
    <t>Oktober</t>
  </si>
  <si>
    <t>November</t>
  </si>
  <si>
    <t>Dezember</t>
  </si>
  <si>
    <t>Januar</t>
  </si>
  <si>
    <t>März</t>
  </si>
  <si>
    <t>April</t>
  </si>
  <si>
    <t>?</t>
  </si>
  <si>
    <t>Mai</t>
  </si>
  <si>
    <t>Juni</t>
  </si>
  <si>
    <t>Juli</t>
  </si>
  <si>
    <t>August</t>
  </si>
  <si>
    <t>September</t>
  </si>
  <si>
    <t>Februar</t>
  </si>
  <si>
    <t>TOTAL</t>
  </si>
  <si>
    <t>Hygiene/Kosmetik</t>
  </si>
  <si>
    <t>01.01.</t>
  </si>
  <si>
    <t>02.01.</t>
  </si>
  <si>
    <t>03.01.</t>
  </si>
  <si>
    <t>04.01.</t>
  </si>
  <si>
    <t>05.01.</t>
  </si>
  <si>
    <t>06.01.</t>
  </si>
  <si>
    <t>07.01.</t>
  </si>
  <si>
    <t>08.01.</t>
  </si>
  <si>
    <t>09.01.</t>
  </si>
  <si>
    <t>10.01.</t>
  </si>
  <si>
    <t>12.01.</t>
  </si>
  <si>
    <t>11.01.</t>
  </si>
  <si>
    <t>13.01.</t>
  </si>
  <si>
    <t>14.01.</t>
  </si>
  <si>
    <t>15.01.</t>
  </si>
  <si>
    <t>16.01.</t>
  </si>
  <si>
    <t>17.01.</t>
  </si>
  <si>
    <t>18.01.</t>
  </si>
  <si>
    <t>19.01.</t>
  </si>
  <si>
    <t>20.01.</t>
  </si>
  <si>
    <t>21.01.</t>
  </si>
  <si>
    <t>22.01.</t>
  </si>
  <si>
    <t>23.01.</t>
  </si>
  <si>
    <t>24.01.</t>
  </si>
  <si>
    <t>25.01.</t>
  </si>
  <si>
    <t>26.01.</t>
  </si>
  <si>
    <t>27.01.</t>
  </si>
  <si>
    <t>28.01.</t>
  </si>
  <si>
    <t>29.01.</t>
  </si>
  <si>
    <t>30.01.</t>
  </si>
  <si>
    <t>31.01.</t>
  </si>
  <si>
    <t>Gesamt</t>
  </si>
  <si>
    <t xml:space="preserve"> </t>
  </si>
  <si>
    <t>30.04.</t>
  </si>
  <si>
    <t>28.02.</t>
  </si>
  <si>
    <t>27.02.</t>
  </si>
  <si>
    <t>01.02.</t>
  </si>
  <si>
    <t>02.02.</t>
  </si>
  <si>
    <t>03.02.</t>
  </si>
  <si>
    <t>04.02.</t>
  </si>
  <si>
    <t>05.02.</t>
  </si>
  <si>
    <t>06.02.</t>
  </si>
  <si>
    <t>07.02.</t>
  </si>
  <si>
    <t>08.02.</t>
  </si>
  <si>
    <t>09.02.</t>
  </si>
  <si>
    <t>10.02.</t>
  </si>
  <si>
    <t>11.02.</t>
  </si>
  <si>
    <t>12.02.</t>
  </si>
  <si>
    <t>13.02.</t>
  </si>
  <si>
    <t>14.02.</t>
  </si>
  <si>
    <t>15.02.</t>
  </si>
  <si>
    <t>16.02.</t>
  </si>
  <si>
    <t>17.02.</t>
  </si>
  <si>
    <t>18.02.</t>
  </si>
  <si>
    <t>19.02.</t>
  </si>
  <si>
    <t>20.02.</t>
  </si>
  <si>
    <t>21.02.</t>
  </si>
  <si>
    <t>22.02.</t>
  </si>
  <si>
    <t>23.02.</t>
  </si>
  <si>
    <t>24.02.</t>
  </si>
  <si>
    <t>25.02.</t>
  </si>
  <si>
    <t>26.02.</t>
  </si>
  <si>
    <t>01.03.</t>
  </si>
  <si>
    <t>02.03.</t>
  </si>
  <si>
    <t>03.03.</t>
  </si>
  <si>
    <t>04.03.</t>
  </si>
  <si>
    <t>05.03.</t>
  </si>
  <si>
    <t>06.03.</t>
  </si>
  <si>
    <t>07.03.</t>
  </si>
  <si>
    <t>08.03.</t>
  </si>
  <si>
    <t>09.03.</t>
  </si>
  <si>
    <t>10.03.</t>
  </si>
  <si>
    <t>11.03.</t>
  </si>
  <si>
    <t>12.03.</t>
  </si>
  <si>
    <t>13.03.</t>
  </si>
  <si>
    <t>14.03.</t>
  </si>
  <si>
    <t>15.03.</t>
  </si>
  <si>
    <t>16.03.</t>
  </si>
  <si>
    <t>17.03.</t>
  </si>
  <si>
    <t>18.03.</t>
  </si>
  <si>
    <t>19.03.</t>
  </si>
  <si>
    <t>20.03.</t>
  </si>
  <si>
    <t>21.03.</t>
  </si>
  <si>
    <t>22.03.</t>
  </si>
  <si>
    <t>23.03.</t>
  </si>
  <si>
    <t>24.03.</t>
  </si>
  <si>
    <t>25.03.</t>
  </si>
  <si>
    <t>26.03.</t>
  </si>
  <si>
    <t>27.03.</t>
  </si>
  <si>
    <t>28.03.</t>
  </si>
  <si>
    <t>29.03.</t>
  </si>
  <si>
    <t>30.03.</t>
  </si>
  <si>
    <t>31.03.</t>
  </si>
  <si>
    <t>01.04.</t>
  </si>
  <si>
    <t>02.04.</t>
  </si>
  <si>
    <t>03.04.</t>
  </si>
  <si>
    <t>04.04.</t>
  </si>
  <si>
    <t>05.04.</t>
  </si>
  <si>
    <t>06.04.</t>
  </si>
  <si>
    <t>07.04.</t>
  </si>
  <si>
    <t>08.04.</t>
  </si>
  <si>
    <t>09.04.</t>
  </si>
  <si>
    <t>10.04.</t>
  </si>
  <si>
    <t>11.04.</t>
  </si>
  <si>
    <t>12.04.</t>
  </si>
  <si>
    <t>13.04.</t>
  </si>
  <si>
    <t>14.04.</t>
  </si>
  <si>
    <t>15.04.</t>
  </si>
  <si>
    <t>16.04.</t>
  </si>
  <si>
    <t>17.04.</t>
  </si>
  <si>
    <t>18.04.</t>
  </si>
  <si>
    <t>19.04.</t>
  </si>
  <si>
    <t>20.04.</t>
  </si>
  <si>
    <t>21.04.</t>
  </si>
  <si>
    <t>22.04.</t>
  </si>
  <si>
    <t>23.04.</t>
  </si>
  <si>
    <t>24.04.</t>
  </si>
  <si>
    <t>25.04.</t>
  </si>
  <si>
    <t>26.04.</t>
  </si>
  <si>
    <t>27.04.</t>
  </si>
  <si>
    <t>28.04.</t>
  </si>
  <si>
    <t>29.04.</t>
  </si>
  <si>
    <t>07.05.</t>
  </si>
  <si>
    <t>01.05.</t>
  </si>
  <si>
    <t>02.05.</t>
  </si>
  <si>
    <t>03.05.</t>
  </si>
  <si>
    <t>04.05.</t>
  </si>
  <si>
    <t>05.05.</t>
  </si>
  <si>
    <t>06.05.</t>
  </si>
  <si>
    <t>08.05.</t>
  </si>
  <si>
    <t>09.05.</t>
  </si>
  <si>
    <t>10.05.</t>
  </si>
  <si>
    <t>11.05.</t>
  </si>
  <si>
    <t>12.05.</t>
  </si>
  <si>
    <t>13.05.</t>
  </si>
  <si>
    <t>14.05.</t>
  </si>
  <si>
    <t>15.05.</t>
  </si>
  <si>
    <t>16.05.</t>
  </si>
  <si>
    <t>17.05.</t>
  </si>
  <si>
    <t>18.05.</t>
  </si>
  <si>
    <t>19.05.</t>
  </si>
  <si>
    <t>20.05.</t>
  </si>
  <si>
    <t>21.05.</t>
  </si>
  <si>
    <t>22.05.</t>
  </si>
  <si>
    <t>23.05.</t>
  </si>
  <si>
    <t>24.05.</t>
  </si>
  <si>
    <t>26.05.</t>
  </si>
  <si>
    <t>25.05.</t>
  </si>
  <si>
    <t>27.05.</t>
  </si>
  <si>
    <t>28.05.</t>
  </si>
  <si>
    <t>29.05.</t>
  </si>
  <si>
    <t>30.05.</t>
  </si>
  <si>
    <t>31.05.</t>
  </si>
  <si>
    <t>29.06.</t>
  </si>
  <si>
    <t>30.06.</t>
  </si>
  <si>
    <t>01.06.</t>
  </si>
  <si>
    <t>02.06.</t>
  </si>
  <si>
    <t>03.06.</t>
  </si>
  <si>
    <t>04.06.</t>
  </si>
  <si>
    <t>05.06.</t>
  </si>
  <si>
    <t>06.06.</t>
  </si>
  <si>
    <t>07.06.</t>
  </si>
  <si>
    <t>08.06.</t>
  </si>
  <si>
    <t>09.06.</t>
  </si>
  <si>
    <t>10.06.</t>
  </si>
  <si>
    <t>11.06.</t>
  </si>
  <si>
    <t>12.06.</t>
  </si>
  <si>
    <t>13.06.</t>
  </si>
  <si>
    <t>14.06.</t>
  </si>
  <si>
    <t>15.06.</t>
  </si>
  <si>
    <t>17.06.</t>
  </si>
  <si>
    <t>18.06.</t>
  </si>
  <si>
    <t>16.06.</t>
  </si>
  <si>
    <t>19.06.</t>
  </si>
  <si>
    <t>20.06.</t>
  </si>
  <si>
    <t>21.06.</t>
  </si>
  <si>
    <t>22.06.</t>
  </si>
  <si>
    <t>23.06.</t>
  </si>
  <si>
    <t>24.06.</t>
  </si>
  <si>
    <t>25.06.</t>
  </si>
  <si>
    <t>26.06.</t>
  </si>
  <si>
    <t>27.06.</t>
  </si>
  <si>
    <t>28.06.</t>
  </si>
  <si>
    <t>11.07.</t>
  </si>
  <si>
    <t>12.07.</t>
  </si>
  <si>
    <t>13.07.</t>
  </si>
  <si>
    <t>14.07.</t>
  </si>
  <si>
    <t>15.07.</t>
  </si>
  <si>
    <t>16.07.</t>
  </si>
  <si>
    <t>17.07.</t>
  </si>
  <si>
    <t>18.07.</t>
  </si>
  <si>
    <t>19.07.</t>
  </si>
  <si>
    <t>20.07.</t>
  </si>
  <si>
    <t>21.07.</t>
  </si>
  <si>
    <t>22.07.</t>
  </si>
  <si>
    <t>23.07.</t>
  </si>
  <si>
    <t>24.07.</t>
  </si>
  <si>
    <t>25.07.</t>
  </si>
  <si>
    <t>26.07.</t>
  </si>
  <si>
    <t>27.07.</t>
  </si>
  <si>
    <t>28.07.</t>
  </si>
  <si>
    <t>01.07.</t>
  </si>
  <si>
    <t>02.07.</t>
  </si>
  <si>
    <t>03.07.</t>
  </si>
  <si>
    <t>04.07.</t>
  </si>
  <si>
    <t>05.07.</t>
  </si>
  <si>
    <t>06.07.</t>
  </si>
  <si>
    <t>07.07.</t>
  </si>
  <si>
    <t>08.07.</t>
  </si>
  <si>
    <t>09.07.</t>
  </si>
  <si>
    <t>10.07.</t>
  </si>
  <si>
    <t>29.07.</t>
  </si>
  <si>
    <t>30.07.</t>
  </si>
  <si>
    <t>31.07.</t>
  </si>
  <si>
    <t>29.08.</t>
  </si>
  <si>
    <t>30.08.</t>
  </si>
  <si>
    <t>31.08.</t>
  </si>
  <si>
    <t>01.08.</t>
  </si>
  <si>
    <t>02.08.</t>
  </si>
  <si>
    <t>03.08.</t>
  </si>
  <si>
    <t>04.08.</t>
  </si>
  <si>
    <t>05.08.</t>
  </si>
  <si>
    <t>06.08.</t>
  </si>
  <si>
    <t>07.08.</t>
  </si>
  <si>
    <t>08.08.</t>
  </si>
  <si>
    <t>09.08.</t>
  </si>
  <si>
    <t>10.08.</t>
  </si>
  <si>
    <t>11.08.</t>
  </si>
  <si>
    <t>12.08.</t>
  </si>
  <si>
    <t>13.08.</t>
  </si>
  <si>
    <t>14.08.</t>
  </si>
  <si>
    <t>15.08.</t>
  </si>
  <si>
    <t>16.08.</t>
  </si>
  <si>
    <t>17.08.</t>
  </si>
  <si>
    <t>18.08.</t>
  </si>
  <si>
    <t>19.08.</t>
  </si>
  <si>
    <t>20.08.</t>
  </si>
  <si>
    <t>21.08.</t>
  </si>
  <si>
    <t>22.08.</t>
  </si>
  <si>
    <t>23.08.</t>
  </si>
  <si>
    <t>24.08.</t>
  </si>
  <si>
    <t>25.08.</t>
  </si>
  <si>
    <t>26.08.</t>
  </si>
  <si>
    <t>27.08.</t>
  </si>
  <si>
    <t>28.08.</t>
  </si>
  <si>
    <t>29.09.</t>
  </si>
  <si>
    <t>30.09.</t>
  </si>
  <si>
    <t>09.09.</t>
  </si>
  <si>
    <t>02.09.</t>
  </si>
  <si>
    <t>03.09.</t>
  </si>
  <si>
    <t>04.09.</t>
  </si>
  <si>
    <t>05.09.</t>
  </si>
  <si>
    <t>06.09.</t>
  </si>
  <si>
    <t>07.09.</t>
  </si>
  <si>
    <t>08.09.</t>
  </si>
  <si>
    <t>10.09.</t>
  </si>
  <si>
    <t>11.09.</t>
  </si>
  <si>
    <t>12.09.</t>
  </si>
  <si>
    <t>13.09.</t>
  </si>
  <si>
    <t>14.09.</t>
  </si>
  <si>
    <t>15.09.</t>
  </si>
  <si>
    <t>16.09.</t>
  </si>
  <si>
    <t>17.09.</t>
  </si>
  <si>
    <t>18.09.</t>
  </si>
  <si>
    <t>19.09.</t>
  </si>
  <si>
    <t>20.09.</t>
  </si>
  <si>
    <t>21.09.</t>
  </si>
  <si>
    <t>22.09.</t>
  </si>
  <si>
    <t>23.09.</t>
  </si>
  <si>
    <t>24.09.</t>
  </si>
  <si>
    <t>25.09.</t>
  </si>
  <si>
    <t>26.09.</t>
  </si>
  <si>
    <t>27.09.</t>
  </si>
  <si>
    <t>28.09.</t>
  </si>
  <si>
    <t>01.09.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</si>
  <si>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</si>
  <si>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</si>
  <si>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</si>
  <si>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</si>
  <si>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</si>
  <si>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</si>
  <si>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</si>
  <si>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</si>
  <si>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</si>
  <si>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</si>
  <si>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</si>
  <si>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</si>
  <si>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13.10.</t>
  </si>
  <si>
    <t>14.10.</t>
  </si>
  <si>
    <t>15.10.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</si>
  <si>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</si>
  <si>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</si>
  <si>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</si>
  <si>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</si>
  <si>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</si>
  <si>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</si>
  <si>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</si>
  <si>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</si>
  <si>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</si>
  <si>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</si>
  <si>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</si>
  <si>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</si>
  <si>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</si>
  <si>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</si>
  <si>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</si>
  <si>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</si>
  <si>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29.11.</t>
  </si>
  <si>
    <t>30.11.</t>
  </si>
  <si>
    <t>11.11.</t>
  </si>
  <si>
    <t>02.11.</t>
  </si>
  <si>
    <t>03.11.</t>
  </si>
  <si>
    <t>04.11.</t>
  </si>
  <si>
    <t>05.11.</t>
  </si>
  <si>
    <t>06.11.</t>
  </si>
  <si>
    <t>07.11.</t>
  </si>
  <si>
    <t>08.11.</t>
  </si>
  <si>
    <t>09.11.</t>
  </si>
  <si>
    <t>10.11.</t>
  </si>
  <si>
    <t>12.11.</t>
  </si>
  <si>
    <t>13.11.</t>
  </si>
  <si>
    <t>14.11.</t>
  </si>
  <si>
    <t>15.11.</t>
  </si>
  <si>
    <t>16.11.</t>
  </si>
  <si>
    <t>17.11.</t>
  </si>
  <si>
    <t>18.11.</t>
  </si>
  <si>
    <t>19.11.</t>
  </si>
  <si>
    <t>20.11.</t>
  </si>
  <si>
    <t>21.11.</t>
  </si>
  <si>
    <t>22.11.</t>
  </si>
  <si>
    <t>23.11.</t>
  </si>
  <si>
    <t>24.11.</t>
  </si>
  <si>
    <t>25.11.</t>
  </si>
  <si>
    <t>26.11.</t>
  </si>
  <si>
    <t>27.11.</t>
  </si>
  <si>
    <t>28.11.</t>
  </si>
  <si>
    <t>01.11.</t>
  </si>
  <si>
    <t>29.12.</t>
  </si>
  <si>
    <t>30.12.</t>
  </si>
  <si>
    <t>31.12.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</si>
  <si>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</si>
  <si>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</si>
  <si>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</si>
  <si>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</si>
  <si>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</si>
  <si>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</si>
  <si>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</si>
  <si>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</si>
  <si>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</si>
  <si>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</si>
  <si>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</si>
  <si>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</si>
  <si>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13.12.</t>
  </si>
  <si>
    <t>14.12.</t>
  </si>
  <si>
    <t>15.12.</t>
  </si>
  <si>
    <t>16.12.</t>
  </si>
  <si>
    <t>17.12.</t>
  </si>
  <si>
    <t>18.12.</t>
  </si>
  <si>
    <t>19.12.</t>
  </si>
  <si>
    <t>20.12.</t>
  </si>
  <si>
    <t>21.12.</t>
  </si>
  <si>
    <t>22.12.</t>
  </si>
  <si>
    <t>23.12.</t>
  </si>
  <si>
    <t>24.12.</t>
  </si>
  <si>
    <t>25.12.</t>
  </si>
  <si>
    <t>26.12.</t>
  </si>
  <si>
    <t>27.12.</t>
  </si>
  <si>
    <t>28.12.</t>
  </si>
  <si>
    <t>Sonstiges</t>
  </si>
  <si>
    <t>Jahr</t>
  </si>
  <si>
    <t>Abzinsfaktor</t>
  </si>
  <si>
    <t>Kapitalwert:</t>
  </si>
  <si>
    <t>Zinssatz:</t>
  </si>
  <si>
    <t>Annuität:</t>
  </si>
  <si>
    <t>Summe</t>
  </si>
  <si>
    <t>Arbeitskräfte &amp; Arbeitszeit</t>
  </si>
  <si>
    <t>Betriebsmittel</t>
  </si>
  <si>
    <t>Datum</t>
  </si>
  <si>
    <t>Planungsgespräch</t>
  </si>
  <si>
    <t>PC (Web-Meeting)</t>
  </si>
  <si>
    <t>Planungsskizzen</t>
  </si>
  <si>
    <t>Auswahl der Pflanzen</t>
  </si>
  <si>
    <t>PC, Telefon</t>
  </si>
  <si>
    <t>Auswahl und Bestellung der Pflanzen</t>
  </si>
  <si>
    <t>Bodenbearbeitung</t>
  </si>
  <si>
    <t>Tiefenlockerung: Lockerung möglicher Verdichtungen für einen besseren Anwuchs der Pflanzen</t>
  </si>
  <si>
    <t>Einmessen</t>
  </si>
  <si>
    <t>Pflanzung</t>
  </si>
  <si>
    <t>Modell- und Demonstrationsvorhaben für die Planung und Etablierung von Agroforstsystemen in Schleswig-Holstein</t>
  </si>
  <si>
    <t>Anzahl</t>
  </si>
  <si>
    <t>Eichhof</t>
  </si>
  <si>
    <t>Quellen</t>
  </si>
  <si>
    <t>Bestellung (Kosten)</t>
  </si>
  <si>
    <t>Direktkosten</t>
  </si>
  <si>
    <t>Summe Auszahlungen</t>
  </si>
  <si>
    <t>Summe Einzahlungen</t>
  </si>
  <si>
    <t>Planung</t>
  </si>
  <si>
    <t>Pflege</t>
  </si>
  <si>
    <t>Ernte</t>
  </si>
  <si>
    <t xml:space="preserve">Anmerkungen </t>
  </si>
  <si>
    <r>
      <t xml:space="preserve">Eingesetzte Maschinen, Geräte </t>
    </r>
    <r>
      <rPr>
        <sz val="11"/>
        <color rgb="FF0070C0"/>
        <rFont val="Calibri"/>
        <family val="2"/>
        <scheme val="minor"/>
      </rPr>
      <t>(Name, Typ, Größe und Funktion)</t>
    </r>
  </si>
  <si>
    <r>
      <t xml:space="preserve">Lohnkosten </t>
    </r>
    <r>
      <rPr>
        <sz val="12"/>
        <color rgb="FF3333CC"/>
        <rFont val="Calibri"/>
        <family val="2"/>
        <scheme val="minor"/>
      </rPr>
      <t>(kalkulatorischer Lohnansatz: € 22)</t>
    </r>
  </si>
  <si>
    <r>
      <t xml:space="preserve">Lohnkosten </t>
    </r>
    <r>
      <rPr>
        <sz val="12"/>
        <color rgb="FF3333CC"/>
        <rFont val="Calibri"/>
        <family val="2"/>
        <scheme val="minor"/>
      </rPr>
      <t>(kalkulatorischer Lohnansatz: € 13,9)</t>
    </r>
  </si>
  <si>
    <t>Maschinenkosten</t>
  </si>
  <si>
    <t xml:space="preserve">Beschreibung der Tätigkeit </t>
  </si>
  <si>
    <t>Anzahl der beteiligten Hilfskräfte</t>
  </si>
  <si>
    <t>Anzahl der beteiligten Fachkräfte</t>
  </si>
  <si>
    <r>
      <t>Fachkraft</t>
    </r>
    <r>
      <rPr>
        <sz val="12"/>
        <rFont val="Calibri"/>
        <family val="2"/>
        <scheme val="minor"/>
      </rPr>
      <t xml:space="preserve"> - kalkulatorischer Lohnansatz in €:</t>
    </r>
  </si>
  <si>
    <r>
      <t>Hilfskraft</t>
    </r>
    <r>
      <rPr>
        <sz val="12"/>
        <rFont val="Calibri"/>
        <family val="2"/>
        <scheme val="minor"/>
      </rPr>
      <t xml:space="preserve"> - kalkulatorischer Lohnansatz in €:</t>
    </r>
  </si>
  <si>
    <t>Netto-Preise</t>
  </si>
  <si>
    <t>Futterlaub ernten</t>
  </si>
  <si>
    <t>Erlöse</t>
  </si>
  <si>
    <t>3% jährlicher Preiszuwachs</t>
  </si>
  <si>
    <t>jährlich</t>
  </si>
  <si>
    <t>Betrachtungszeitraum:</t>
  </si>
  <si>
    <t>Quelle: https://www.lksh.de/fileadmin/PDFs/Landwirtschaft/Markt/Kalk_tier_25_26.pdf</t>
  </si>
  <si>
    <t>Abschliessende Baumschulrecherche und Auswahl der Pflanzen. Bestellvorgang.</t>
  </si>
  <si>
    <t>Auswahl der Pflanzen. Recherchen und Telefonate mit Baumschulen.</t>
  </si>
  <si>
    <t>Versandkosten</t>
  </si>
  <si>
    <t>Versand von 2 Baumschulen, anteilige Kosten</t>
  </si>
  <si>
    <t>Pflanzgut verladen</t>
  </si>
  <si>
    <t>10 min Rüstzeit</t>
  </si>
  <si>
    <t>Spaten</t>
  </si>
  <si>
    <t>Einschlag vorbereiten: Graben ziehen auf ca. 20-30 cm. Dann Gehölze dort schräg einlegen und mit Erde füllen, damit sie wieder schnell entnommen werden können für die zeitverzögerte Pflanzung.</t>
  </si>
  <si>
    <t>Vorbereitung der Pflanzung</t>
  </si>
  <si>
    <t>Tätigkeit</t>
  </si>
  <si>
    <r>
      <rPr>
        <b/>
        <sz val="11"/>
        <rFont val="Calibri"/>
        <family val="2"/>
        <scheme val="minor"/>
      </rPr>
      <t>Arbeitszeit in min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inklusive Rüst- und Wegezeiten; Wegezeit: 5 min pro Weg</t>
    </r>
  </si>
  <si>
    <r>
      <rPr>
        <b/>
        <sz val="11"/>
        <rFont val="Calibri"/>
        <family val="2"/>
        <scheme val="minor"/>
      </rPr>
      <t xml:space="preserve">Arbeitsstunden Fachkräfte </t>
    </r>
    <r>
      <rPr>
        <sz val="11"/>
        <color rgb="FF0070C0"/>
        <rFont val="Calibri"/>
        <family val="2"/>
        <scheme val="minor"/>
      </rPr>
      <t>(Anzahl Arbeitskräfte * Arbeitszeit)</t>
    </r>
  </si>
  <si>
    <r>
      <rPr>
        <b/>
        <sz val="11"/>
        <rFont val="Calibri"/>
        <family val="2"/>
        <scheme val="minor"/>
      </rPr>
      <t>Arbeitsstunden Hilfskräfte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(Anzahl Arbeitskräfte * Arbeitszeit)</t>
    </r>
  </si>
  <si>
    <r>
      <rPr>
        <b/>
        <sz val="11"/>
        <rFont val="Calibri"/>
        <family val="2"/>
        <scheme val="minor"/>
      </rPr>
      <t>Anmerkungen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(z.B. unterschiedliche Arbeitszeiten/ Qualifikationen)</t>
    </r>
  </si>
  <si>
    <r>
      <rPr>
        <b/>
        <sz val="11"/>
        <rFont val="Calibri"/>
        <family val="2"/>
        <scheme val="minor"/>
      </rPr>
      <t>Betriebsmittel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(z.B. Pflanzgut, Wuchshüllen, Wasser, Mulch, Dünger,...)</t>
    </r>
  </si>
  <si>
    <t>Spaten, Schubkarre.</t>
  </si>
  <si>
    <t>5 min Rüstzeit</t>
  </si>
  <si>
    <t xml:space="preserve">Güllewagen als Wassertank mit Schlauch mit Löchern zur Bewässerung/Beregnung. </t>
  </si>
  <si>
    <t>Güllewagen 10³; Trecker Fendt Farmer 110</t>
  </si>
  <si>
    <t xml:space="preserve">Hinweise: </t>
  </si>
  <si>
    <t>Monetärer Wert extensiver Weide für Milchkühe: 14 € / dt TM &amp; Jahr</t>
  </si>
  <si>
    <r>
      <t>Schwarzer Holunder (</t>
    </r>
    <r>
      <rPr>
        <i/>
        <sz val="11"/>
        <rFont val="Calibri"/>
        <family val="2"/>
        <scheme val="minor"/>
      </rPr>
      <t>Sambucus nigra</t>
    </r>
    <r>
      <rPr>
        <sz val="12"/>
        <rFont val="Calibri"/>
        <family val="2"/>
        <scheme val="minor"/>
      </rPr>
      <t>)</t>
    </r>
  </si>
  <si>
    <r>
      <t xml:space="preserve">Einzahlungen </t>
    </r>
    <r>
      <rPr>
        <sz val="12"/>
        <rFont val="Calibri"/>
        <family val="2"/>
        <scheme val="minor"/>
      </rPr>
      <t>(Erlöse)</t>
    </r>
  </si>
  <si>
    <r>
      <t xml:space="preserve">Auszahlungen </t>
    </r>
    <r>
      <rPr>
        <sz val="12"/>
        <rFont val="Calibri"/>
        <family val="2"/>
        <scheme val="minor"/>
      </rPr>
      <t>(Investitionen)</t>
    </r>
  </si>
  <si>
    <r>
      <t xml:space="preserve">Netto-Cashflow </t>
    </r>
    <r>
      <rPr>
        <sz val="12"/>
        <rFont val="Calibri"/>
        <family val="2"/>
        <scheme val="minor"/>
      </rPr>
      <t>(Einzahlung minus Auszahlung)</t>
    </r>
  </si>
  <si>
    <r>
      <t xml:space="preserve">Barwert </t>
    </r>
    <r>
      <rPr>
        <sz val="12"/>
        <rFont val="Calibri"/>
        <family val="2"/>
        <scheme val="minor"/>
      </rPr>
      <t>(heutiger Wert einer zukünftigen Zahlung)</t>
    </r>
  </si>
  <si>
    <r>
      <t xml:space="preserve">Da Holunder erst nach 6-7 Jahren ausgewachsen ist: </t>
    </r>
    <r>
      <rPr>
        <b/>
        <sz val="12"/>
        <rFont val="Calibri"/>
        <family val="2"/>
        <scheme val="minor"/>
      </rPr>
      <t>~ 3 t TM pro ha und Jahr ab Jahr 7</t>
    </r>
    <r>
      <rPr>
        <sz val="12"/>
        <rFont val="Calibri"/>
        <family val="2"/>
        <scheme val="minor"/>
      </rPr>
      <t xml:space="preserve"> (ungedüngt)</t>
    </r>
  </si>
  <si>
    <t>Zwischenlager für  Baumschulgehölze vorbereiten</t>
  </si>
  <si>
    <t>Eichhof, Beraterteam</t>
  </si>
  <si>
    <t>Annahme: jährlicher Anstieg der Lohnkosten um 2%</t>
  </si>
  <si>
    <t>27 €/h</t>
  </si>
  <si>
    <t>35 €/h</t>
  </si>
  <si>
    <t>Baumschutz: Eichenpfähle</t>
  </si>
  <si>
    <t>Eichhof, Anja</t>
  </si>
  <si>
    <t>Jährliche motormanuelle Ernte der einjährigen Triebe für Frischfutter.</t>
  </si>
  <si>
    <r>
      <t xml:space="preserve">Das </t>
    </r>
    <r>
      <rPr>
        <u/>
        <sz val="11"/>
        <rFont val="Calibri"/>
        <family val="2"/>
        <scheme val="minor"/>
      </rPr>
      <t>Schnittgut</t>
    </r>
    <r>
      <rPr>
        <sz val="11"/>
        <rFont val="Calibri"/>
        <family val="2"/>
        <scheme val="minor"/>
      </rPr>
      <t xml:space="preserve"> wird im Hochsommer (Juni - Juli) als zusätzliche Futterkomponente für die Rinder verwendet. </t>
    </r>
    <r>
      <rPr>
        <u/>
        <sz val="11"/>
        <rFont val="Calibri"/>
        <family val="2"/>
        <scheme val="minor"/>
      </rPr>
      <t>Weitere Ziele der Maßnahmen</t>
    </r>
    <r>
      <rPr>
        <sz val="11"/>
        <rFont val="Calibri"/>
        <family val="2"/>
        <scheme val="minor"/>
      </rPr>
      <t>: Wachstum in die Breite.</t>
    </r>
  </si>
  <si>
    <t>Akku-Heckenschere Makita</t>
  </si>
  <si>
    <t>Arbeitszeitaufwand und Direktkosten: AFS mit Obst (3 Streifen, insg. 574 m Länge), Rieckens Eichhof</t>
  </si>
  <si>
    <t xml:space="preserve">Fortschreiten der Planung. Neue Erkenntnisse der Standortanalyse besprechen. </t>
  </si>
  <si>
    <t>Festlegen der Pflanzabstände, der Breite der Gehölzstreifen, der Baumauswahl. Überlegungen zum Baumschutz und der Optimierung des Eigenbaus. Außerdem Besprechen der Standortanalyse und Abgleich mit der geplanten Baumauswahl.</t>
  </si>
  <si>
    <t>Planungsziele schärfen: neue Ideen besprechen, Artenauswahl prüfen/ Liste der Gehölze durchgehen auf Eignung; eher kleinwüchsige Gehölze auswählen, um "dichte Wand" / Windbruch zu vermeiden; Anordnung der Gehölze besprechen</t>
  </si>
  <si>
    <t>50 min + 10 min Rücksprache mit einer weiteren Fachkraft am Eichhof</t>
  </si>
  <si>
    <t>Im Vergleich zu Futterlaub und Windschutz waren die Pflanzgutrecherchen für Obst am aufwändigsten</t>
  </si>
  <si>
    <t>Die Standortanalyse wurde für die drei neuen Agroforstsysteme gleichzeitig besprochen (jeweils ein Drittel der Gesamtzeit). Standortanalyse: dafür wurden Bodenproben auf 30-40 cm Tiefe an ca. 6 unterschiedlichen Orten auf der Koppel  entnommen. Ziel: Gesamtüberblick über die Koppel - unterer Teil der Wiese (für die Obstgehölze), Hanglage (für das Futterlaub), windexponierte Hanglage (für die Windschutzhecke) &amp; windgeschützte Hanglage als Vergleich. // Der Aufwand für die Bodenproben wurde nicht berücksichtigt, da laut Beraterteam kein "Muss".</t>
  </si>
  <si>
    <t>Bestellung: Obstbäume, Holunder, Haselnüsse</t>
  </si>
  <si>
    <t>Obstbäume</t>
  </si>
  <si>
    <t>Haselnüsse (Stämmchen und Sträucher)</t>
  </si>
  <si>
    <t>Haselnuss-Stämmchen, veredelt auf 60 cm Höhe, 36,45€/Stück. Haselnusssträucher, Höhe 100-150 cm, 18,60€/Stück.  //  Für das Ausfallrisiko wurden 4 Sträucher mehr gekauft, um ggf. nachpflanzen zu können.</t>
  </si>
  <si>
    <t>Rabatt (Obstbäume, Hasel)</t>
  </si>
  <si>
    <t>Keine zusätzlichen Versandkosten (Obstbäume, Hasel) // Wurde vom Eichhof abgeholt, weil jmd. In der Nähe unterwegs war.</t>
  </si>
  <si>
    <t>Pflanzgut: Obstbäume, Holunder, Haselnüsse</t>
  </si>
  <si>
    <t>2jährig, 30-50 cm, 2,05 €/Stück. Es wurde 1x 100 Stück bestellt für dieses und das Futterlaub-AFS.</t>
  </si>
  <si>
    <t>Baumschutz finalisieren</t>
  </si>
  <si>
    <t>Auswahl an Baumschutz getroffen: Für Demonstration Treedefener - Weiterentwicklung normanische Korsette; Cactus Protector und Eigenbau aus Bestand. Bestellung nach Gespräch per Email.</t>
  </si>
  <si>
    <t>Computer</t>
  </si>
  <si>
    <t>Bestellung Baumschutze und Telefonate mit Lieferanten</t>
  </si>
  <si>
    <t>Recherche und Bestelllung des Baumschutzes: Pfosten und Pfähle</t>
  </si>
  <si>
    <t xml:space="preserve">Baumschutz: Wühlmausgitter, Hasendraht, Anbindeband, Pfosten, Eichenpfähle </t>
  </si>
  <si>
    <t>Wühlmausgitter</t>
  </si>
  <si>
    <t>Hasendraht</t>
  </si>
  <si>
    <t>Anbindeband: Kokosfaser ca. 0,8 cm Stärke</t>
  </si>
  <si>
    <t>Aus dem Bestand (1,5 Rollen verzinkter Draht für 46 Abschnitte; ca. 1m Abschnitte 1x1m und Maschenweite von 13 mm und einer Drahtstärke von ca. 0,7 mm. € 2,15/Stück.</t>
  </si>
  <si>
    <t>Aus dem Bestand. Größe: 40 x 40 cm Maschendraht (1cmx1cm). € 0,56 /Stück.</t>
  </si>
  <si>
    <t>Aus dem Bestand. Ca. 2m pro Baum verwendet. € 0,05/Stück.</t>
  </si>
  <si>
    <t xml:space="preserve">Pfosten Robinienpfahl </t>
  </si>
  <si>
    <t>12-14 cm + 350cm lang. Eigentlich hätte 8cm gereicht, war aber nicht lieferbar. Zweck: Anbindung Baum. € 16,49 / Stück</t>
  </si>
  <si>
    <t xml:space="preserve">Pfosten Eichenpfähle </t>
  </si>
  <si>
    <t>180cm x 8-13 Rücken; Schutz gegen Kuhschubbern. Nur die Reihen 1 + 3 sind mit Einzelbaumschutz ausgestattet. Der 2. Streifen wurde flächig eingezäunt. € 4,40 / Stück</t>
  </si>
  <si>
    <t>Baumschutz "Eigenbau"</t>
  </si>
  <si>
    <t>Aus dem Bestand. Eigenbau ( 80cm Drahtgeflecht aus dem Bestand) + 1 Pfahl Robinie 350 cm + 2 Eichenspaltpfähle (180 cm Länge á 4,40 netto)</t>
  </si>
  <si>
    <t>Cactus Protector L (Baumschutz)</t>
  </si>
  <si>
    <t>Für Obstbäume. € 29,95 / Stück</t>
  </si>
  <si>
    <t>Normannisches Korsett (Baumschutz)</t>
  </si>
  <si>
    <t>Traditionelles Metallkorsett. € 31 / Stück.  Wird nur für die Obstbäume verwendet. Ohne Erdnägel, stattdessen wurden Eichenpfähle gesetzt. Preis des Metallkorsetts. Eichenpfähle und Anbindepfähl sind extra.</t>
  </si>
  <si>
    <t>Zaunpfähle für die 2. Reihe. Flächige Einzäunung. Größe: 180cm lang, Rückenbreite 7-12cm. € 4,40 / Stück.</t>
  </si>
  <si>
    <t>Anlage</t>
  </si>
  <si>
    <t xml:space="preserve">Aufstellen der Ansitzstangen für Raubvögel. Aufbau an bestehenden Pfosten der Anbindepfosten (Robinie) </t>
  </si>
  <si>
    <t>Teleskoplader Kramer, Schlangenbohrer</t>
  </si>
  <si>
    <t>Langer Haselast aus dem Knick, deshalb keine weiteren Kosten. 6 Ansitzstangen mit 12 Schrauben und 12 Muttern. Robinienpfosten je 1 als Anbindepfahl pro großem Obstbaum (keine Ansitzstangen verwendet).</t>
  </si>
  <si>
    <t>Die zeitliche Planung wurde ebenfalls besprochen: Herbstpflanzung geplant mit Spiel für schlechtes Wetter --&gt; dann wurde im Winter gepflanzt</t>
  </si>
  <si>
    <t>GPS-Einmessen und GIS Planung. Einarbeitung in die neue Messtechnik. Begründung:  Das Vermessungsbüro hat einen Kostenvoranschläge von ca. 1.500€ für 20 Messpunkte gemacht.</t>
  </si>
  <si>
    <t xml:space="preserve">GPS Messgerät, PC (GIS-Planung), Farbspray, </t>
  </si>
  <si>
    <t>Trecker (Fendt Vario), Bremer Parallellockerer</t>
  </si>
  <si>
    <t>Für Obst wurden 46 Messpunkte eingemessen. Für Hasel und Holunder in der 2. Reihe mit einem Maßband gearbeitet. Pro Punkt ca. 2-3 min inkl. Weg. Es gab immer mal wieder technische Schwierigkeiten mit dem Empfang.</t>
  </si>
  <si>
    <t>Pflanzen wurden durch Nicole angeliefert und auf dem Hof verladen. Aufgrund niedriger Temperaturen wurden die Pflanzen in Heu eingeschlagen.</t>
  </si>
  <si>
    <t>1  Bund Heu</t>
  </si>
  <si>
    <t>Das Einschlagen in Heu war eine spontane Lösung, um die Pflanzen vor Kälte zu schützen. € 3/ Stück.</t>
  </si>
  <si>
    <t>Heraussuchen:  Wühlmausgitter, Anbindeband, Baumschutz, Pfosten, Hasendrähte, benötigte Geräte (Schubkarren, Spaten, Gießkannen). Wühlmausgitter mit Akkuflex zuschneiden. Transport von Betriebsmitteln, z.T. im Viehwagen.</t>
  </si>
  <si>
    <t>Kramer Teleskoplader (110 PS),Viehwagen, Akkuflex</t>
  </si>
  <si>
    <t>Koordination der Pflanzaktion</t>
  </si>
  <si>
    <t>Einladung zur Pflanzaktion. Anmeldungen zur Pflanzaktion koordinieren: Emails beantworten, telefonischer Kontakt. Versorgung klären und Essen bestellen</t>
  </si>
  <si>
    <t>10.-19.11.2025</t>
  </si>
  <si>
    <t>Ausfall bei schlechtem Wetter nicht planbar.</t>
  </si>
  <si>
    <t>Pflanzpunkte einmessen</t>
  </si>
  <si>
    <t>Pflanzpunkte in der Reihe 2 einmessen und mit Robinienstäben und Farbspray markieren</t>
  </si>
  <si>
    <t xml:space="preserve">Messgerät RTK Calibrated Surveyor Kit, Transport mit dem Fahrrad </t>
  </si>
  <si>
    <t>Robinenpfähle (1,40 m)</t>
  </si>
  <si>
    <t>Messgerät</t>
  </si>
  <si>
    <t>Diese Robinenpfähle sind nur als Makierung gedacht und werden bei der Pflanzung entfernt und an anderer Stelle weiterverwendet.</t>
  </si>
  <si>
    <t xml:space="preserve">Das Gerät wurde kostenfrei ausgeliehen von Bekannten. Dadurch sind keine Kosten entstanden. Neuanschaffung hätte ca. 600€ gekostet. Das Messgerät Ardusimple RTK Calibrated Surveyor Kit (https://www.ardusimple.de/product/rtk-calibrated-surveyor-kit/) hatte bei Regen und niedrigen Temperaturen Verbindungsprobleme. </t>
  </si>
  <si>
    <t>Farbspray</t>
  </si>
  <si>
    <t>Aus dem Bestand.</t>
  </si>
  <si>
    <t>Pflanzpunkte in den Reihen 1+3 einmessen und mit Robinienstäben und Farbspray markieren</t>
  </si>
  <si>
    <t>30 min Rüstzeit: Einstellung des Geräts; einladen der Pfähle, Kalibrierung einstellen.</t>
  </si>
  <si>
    <t>s. Reihe 2</t>
  </si>
  <si>
    <t>Farbspray aus dem Bestand. Kalibrieren des Gerätes  mit kleinen technischen Schwierigkeiten.</t>
  </si>
  <si>
    <t>Pflanzaktion vorbereiten</t>
  </si>
  <si>
    <r>
      <t>Erstellen und laminieren von Hinweis Schildern für VA &amp; Pflanzplan</t>
    </r>
    <r>
      <rPr>
        <sz val="11"/>
        <rFont val="Calibri"/>
        <family val="2"/>
        <scheme val="minor"/>
      </rPr>
      <t>. Schilder mit Hammer in den Boden einschlagen. Heiße Getränke vorbereiten.</t>
    </r>
  </si>
  <si>
    <t>Wasserkocher, Hammer, Laminiergerät</t>
  </si>
  <si>
    <t>Druckerpapier, Laminierpapier, Nagel, Hammer, Robinienstöcke 2x2</t>
  </si>
  <si>
    <t>5 Schilder. Materialien aus dem Bestand. Die Pflanzaktion musste aufgrund schlechten Wetters und zu großer Bodenfeuchte abgesagt werden.</t>
  </si>
  <si>
    <t>Heiße Getränke vorbereiten. Letzte organisatorische Absprachen.</t>
  </si>
  <si>
    <t>Pflanzaktion absagen</t>
  </si>
  <si>
    <t>Pflanzaktion absagen: Email, Telefonate</t>
  </si>
  <si>
    <t>Wasserkocher</t>
  </si>
  <si>
    <t>Boden war zu feucht zum Pflanzen. Anhaltender Regen.</t>
  </si>
  <si>
    <t>Obstbäume pflanzen</t>
  </si>
  <si>
    <t>Obstbäume und Haselnüsse pflanzen</t>
  </si>
  <si>
    <r>
      <t xml:space="preserve">Pflanzung von 3 Obstbäumen in Reihe 2: Pflanzloch ausheben, Pflanzgut holen, Wühlmausdraht verlegen, Pflanzloch füllen, Pfahl setzen </t>
    </r>
    <r>
      <rPr>
        <sz val="11"/>
        <rFont val="Calibri"/>
        <family val="2"/>
        <scheme val="minor"/>
      </rPr>
      <t>(Altpfahl aus dem Bestand -da neue noch nicht angekommen waren)</t>
    </r>
    <r>
      <rPr>
        <sz val="12"/>
        <rFont val="Calibri"/>
        <family val="2"/>
        <scheme val="minor"/>
      </rPr>
      <t>, Baum anbinden, Baumschutz anbringen</t>
    </r>
    <r>
      <rPr>
        <sz val="11"/>
        <rFont val="Calibri"/>
        <family val="2"/>
        <scheme val="minor"/>
      </rPr>
      <t xml:space="preserve"> (Provisorischer Antiknapp aus Bestand)</t>
    </r>
  </si>
  <si>
    <t>Pflanzgut, Wühlmausdraht, Pfosten, Alt-Baumschutz (Antiknapp), Anbindematerial.</t>
  </si>
  <si>
    <t>Kosten s.o. Die provisorischen Betriebsmittel wurden später wieder entfernt und ersetzt.</t>
  </si>
  <si>
    <t>Pflanzung von Obstbäumen und Haselnüssen in Reihe 2: Pflanzloch ausheben, Pflanzgut holen, Wühlmausdraht verlegen, Pflanzloch füllen, Pfosten setzen (provisorisch, alten Pfosten aus Bestand), Baum anbinden, Baumschutz anbringen (provisorisch, Antiknapp -aus Altbestand)</t>
  </si>
  <si>
    <t>Spaten, Material gelagert in Viehanhänger auf der Koppel.</t>
  </si>
  <si>
    <t>Pflanzung am Wochenende mit 'entspanntem' Tempo. Rüstzeit ca. 20 min. Pausenzeit ca. 40 min (abgezogen)</t>
  </si>
  <si>
    <t>Rüstzeit ca. 20 min</t>
  </si>
  <si>
    <t>Rüstzeit ca. 20 min. Pausenzeit ca. 20 min (abgezogen)</t>
  </si>
  <si>
    <r>
      <t xml:space="preserve">Eichenpfähle setzen, um die schon gepflanzten Obstbäume vor den Kühen zu schützen. 1 bis 2 </t>
    </r>
    <r>
      <rPr>
        <sz val="11"/>
        <rFont val="Calibri"/>
        <family val="2"/>
        <scheme val="minor"/>
      </rPr>
      <t>Eichenpähle</t>
    </r>
    <r>
      <rPr>
        <sz val="12"/>
        <rFont val="Calibri"/>
        <family val="2"/>
        <scheme val="minor"/>
      </rPr>
      <t xml:space="preserve"> pro Pflanzloch. Die Baumscheibe mit circa 6-7 Plattschaufeln Holzhackschnitzel abmulchen/</t>
    </r>
    <r>
      <rPr>
        <sz val="11"/>
        <rFont val="Calibri"/>
        <family val="2"/>
        <scheme val="minor"/>
      </rPr>
      <t>decken.</t>
    </r>
  </si>
  <si>
    <t>Rüstzeit 5 min: Hänger mit Holzhackschnitzeln beladen, Eichenpfähle aufladen</t>
  </si>
  <si>
    <t>Raupenbagger (8t), PKW-Anhänger, Schwerlastband (zum Befestigen des Anhängers am Bagger), Kramerschaufel, Plattschaufeln</t>
  </si>
  <si>
    <t>Holzhackschnitzel, Eichenpfähle</t>
  </si>
  <si>
    <t>Hackschnitzel: 3 m³</t>
  </si>
  <si>
    <t>Obstbäume und Holunder pflanzen, Baumschutz errichten</t>
  </si>
  <si>
    <t>Obstbäume pflanzen, Baumschutz errichten</t>
  </si>
  <si>
    <t>1 Fachkraft, drei ehrenamtliche Helfer. 5 min Rüstzeit</t>
  </si>
  <si>
    <t>1 Fachkraft, 1 ehrenamtlicher Helfer. 5 min Rüstzeit</t>
  </si>
  <si>
    <t>Insg. 365 min, inklusive 95 min Pausenzeit. 5 min Rüstzeit.</t>
  </si>
  <si>
    <r>
      <t xml:space="preserve">Pflanzgut, Wühlmausschutz, </t>
    </r>
    <r>
      <rPr>
        <sz val="11"/>
        <rFont val="Calibri"/>
        <family val="2"/>
        <scheme val="minor"/>
      </rPr>
      <t>Hasendraht ,</t>
    </r>
    <r>
      <rPr>
        <sz val="12"/>
        <rFont val="Calibri"/>
        <family val="2"/>
        <scheme val="minor"/>
      </rPr>
      <t xml:space="preserve"> Baumschutz (normannisches Korsett) --&gt; s.o.</t>
    </r>
  </si>
  <si>
    <r>
      <t>3 Obstbäume: Pflanzlöcher ausheben, Wühlmauskorb einbringen, Baum setzen, Pflanzloch verfüllen. Normannisches Korsett vorläufig anbringen (</t>
    </r>
    <r>
      <rPr>
        <sz val="11"/>
        <rFont val="Calibri"/>
        <family val="2"/>
        <scheme val="minor"/>
      </rPr>
      <t>Eichenpfähle &amp; großer Anbindepfosten</t>
    </r>
    <r>
      <rPr>
        <sz val="12"/>
        <rFont val="Calibri"/>
        <family val="2"/>
        <scheme val="minor"/>
      </rPr>
      <t xml:space="preserve"> fehlen noch). 12 Holunder: Pflanzloch ausheben, Baum setzen, Loch verfüllen.</t>
    </r>
  </si>
  <si>
    <t>Die richtigen Pfosten sind nur für die Pflanzaktion zu spät angekommen, deshalb mussten wir mit Provisorium arbeiten und die Pfähle im Nachgang nochmal austauschen. Sehr ärgerlich und zeitintensiv.</t>
  </si>
  <si>
    <r>
      <t>4 Obstbäume: Pflanzlöcher ausheben, Wühlmauskorb einbringen, Baum setzen, Pflanzloch verfüllen. Normannisches Korsett vorläufig anbringen (</t>
    </r>
    <r>
      <rPr>
        <sz val="11"/>
        <rFont val="Calibri"/>
        <family val="2"/>
        <scheme val="minor"/>
      </rPr>
      <t xml:space="preserve">Pfosten </t>
    </r>
    <r>
      <rPr>
        <sz val="12"/>
        <rFont val="Calibri"/>
        <family val="2"/>
        <scheme val="minor"/>
      </rPr>
      <t xml:space="preserve">fehlen noch). </t>
    </r>
  </si>
  <si>
    <t xml:space="preserve">4 Obstbäume: Pflanzlöcher ausheben, Wühlmauskorb einbringen, Baum setzen, Pflanzloch verfüllen. Normannisches Korsett vorläufig anbringen. </t>
  </si>
  <si>
    <t>Holunder pflanzen</t>
  </si>
  <si>
    <t>Schnee auf den Pflanzlöchern wegfegen, Pflanzlöcher ausheben, Holunder pflanzen, Pflanzlöcher füllen, Hasendraht anbringen.</t>
  </si>
  <si>
    <t>Holunder mulchen, Kontrolle der Pfosten</t>
  </si>
  <si>
    <r>
      <t>7 Obstbäume: Schnee auf den Pflanzlöchern wegfegen, Pflanzlöcher ausheben, Wühlmauskorb einbringen, Baum setzen, Pflanzloch verfüllen. Normannisches Korsett vorläufig anbringen (</t>
    </r>
    <r>
      <rPr>
        <sz val="11"/>
        <rFont val="Calibri"/>
        <family val="2"/>
        <scheme val="minor"/>
      </rPr>
      <t xml:space="preserve">Pfosten </t>
    </r>
    <r>
      <rPr>
        <sz val="12"/>
        <rFont val="Calibri"/>
        <family val="2"/>
        <scheme val="minor"/>
      </rPr>
      <t xml:space="preserve">fehlen noch). </t>
    </r>
  </si>
  <si>
    <t>Rüstzeit: 40 min (Pflanzgut aus Pflanzschule ausgraben, einschlagen und transportieren). Ca. 45 min Pausenzeit (abgezogen)</t>
  </si>
  <si>
    <r>
      <t xml:space="preserve">Pflanzgut, Wühlmausschutz, </t>
    </r>
    <r>
      <rPr>
        <sz val="11"/>
        <rFont val="Calibri"/>
        <family val="2"/>
        <scheme val="minor"/>
      </rPr>
      <t>Hasendraht ,</t>
    </r>
    <r>
      <rPr>
        <sz val="12"/>
        <rFont val="Calibri"/>
        <family val="2"/>
        <scheme val="minor"/>
      </rPr>
      <t xml:space="preserve"> Baumschutz (normannisches Korsett)</t>
    </r>
  </si>
  <si>
    <t>Schubkarre, Besen, Spaten (Transport per Hand)</t>
  </si>
  <si>
    <t>Pflanzgut, Hasendraht</t>
  </si>
  <si>
    <r>
      <t xml:space="preserve">Mulchen der Holundersträucher mit Holzhackschnitzeln. Etwa 2 Plattschaufeln pro Strauch. Lose Pfosten </t>
    </r>
    <r>
      <rPr>
        <sz val="11"/>
        <rFont val="Calibri"/>
        <family val="2"/>
        <scheme val="minor"/>
      </rPr>
      <t xml:space="preserve">(bei Obstbäumen) </t>
    </r>
    <r>
      <rPr>
        <sz val="12"/>
        <rFont val="Calibri"/>
        <family val="2"/>
        <scheme val="minor"/>
      </rPr>
      <t>weiter</t>
    </r>
    <r>
      <rPr>
        <sz val="1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reindrücken. Eichenpfähle als Support-Pfosten (200cm) gedrückt.</t>
    </r>
  </si>
  <si>
    <t>Rüstzeit: 25 min</t>
  </si>
  <si>
    <t>Maschinenkosten Raupenbagger</t>
  </si>
  <si>
    <t>Baumschutz für Obstbäume   errichten</t>
  </si>
  <si>
    <t xml:space="preserve">Raupenbagger Terex (5 t), Schwerlastband (zum Befestigen des Anhängers am Bagger), PKW-Anhänger, Plattschaufeln  </t>
  </si>
  <si>
    <t>Da es am Bagger keine Anhängerkupplung gibt, wurde der Anhänger mit dem Schwerlastband angehängt. Der Bagger wurde gewählt damit auf nassen Böden möglichst wenig Verdichtung entsteht.</t>
  </si>
  <si>
    <t xml:space="preserve"> 3 m³</t>
  </si>
  <si>
    <t>Hackschnitzel</t>
  </si>
  <si>
    <t>Einzäunung des diversen Streifens</t>
  </si>
  <si>
    <t>Raupenbagger (Eigentum)</t>
  </si>
  <si>
    <t xml:space="preserve">Teleskoplader Kramer; </t>
  </si>
  <si>
    <t>3 Arbeitskräfte, inkl. einer Praktikantin (deshalb eine Person abgezogen). Rüstzeit 15 min, inkl. Einarbeitung Praktikantin.</t>
  </si>
  <si>
    <t>Etwa 1 Stunde Vorbereitung, 1 Stunde Drähte ziehen, danach Pfähle drücken 45 Minuten + 15 Min Rüstzeit</t>
  </si>
  <si>
    <t>Gräben schließen nach Baggerarbeiten</t>
  </si>
  <si>
    <t xml:space="preserve"> 70 m Erdkabel verlegen (Leitung ausbaggern und verlegen)</t>
  </si>
  <si>
    <t>Austausch der provisorischen Pfosten</t>
  </si>
  <si>
    <t>Austausch der provisorischen Pfosten mit den finalen Anbindepfosten: Robinie (350cm) und  Eichenpfähle.</t>
  </si>
  <si>
    <t>Teleskoplader Kramer, Raupenbagger</t>
  </si>
  <si>
    <t xml:space="preserve"> 35 € /h</t>
  </si>
  <si>
    <t>Kokosfaserband, Hanfband zum festbinden, Schrauben</t>
  </si>
  <si>
    <t>Telefon zur Fotodokumentation, Lageplan; ggf. Akkuschrauber zum Lösen des Baumschutzes; Rosenschere</t>
  </si>
  <si>
    <t>Baumschutz kontrollieren &amp; nachbessern (Sommer). Schädlingskontrolle. Außerdem: Vitalität der Bäume (Fotodokumentation), Stammwunden, Bewuchs der Baumscheibe, Neuaustrieb</t>
  </si>
  <si>
    <t>Baumschutz kontrollieren &amp; nachbessern (Frühjahr). Schädlingskontrolle. Außerdem: Vitalität der Bäume (Fotodokumentation), Stammwunden, Bewuchs der Baumscheibe, Neuaustrieb</t>
  </si>
  <si>
    <t>Kontrolle der Obstbäume: Frühjahr (März)</t>
  </si>
  <si>
    <t>Kontrolle der Obstbäume: Sommer (August)</t>
  </si>
  <si>
    <t>ca. 1 min / Baum + Rüstzeit (ca. 10 min) + Wege</t>
  </si>
  <si>
    <t>Beim täglichen Treiben der Kühe auf die/von den Koppeln wird immer nach dem Rechten geschaut. // Bisherige Erfahrung: Nur vereinzelt (Ausnahme!) wurde ein Baumschutz ersetzt, weil Pfähle nicht gehalten haben.</t>
  </si>
  <si>
    <t>Arbeitsschritt wurde ausgeführt &amp; erfasst</t>
  </si>
  <si>
    <t>Wasserverbrauch (circa)</t>
  </si>
  <si>
    <t>4 m³</t>
  </si>
  <si>
    <t>15 min Rüstzeit</t>
  </si>
  <si>
    <t>Bewässerung (1x budgetiert, bei früheren Pflanzungen aber nicht nötig gewesen)</t>
  </si>
  <si>
    <r>
      <rPr>
        <u/>
        <sz val="11"/>
        <rFont val="Calibri"/>
        <family val="2"/>
        <scheme val="minor"/>
      </rPr>
      <t>Eichhof</t>
    </r>
    <r>
      <rPr>
        <sz val="11"/>
        <rFont val="Calibri"/>
        <family val="2"/>
        <scheme val="minor"/>
      </rPr>
      <t xml:space="preserve">: Das hängt vom Jahr ab. Bei früheren Pflanzungen ist keine Bewässerung nötig gewesen. Schätzung: 100L/Baum. Der Eichhof hat (kostenlose)s Brunnenwasser. Das Güllefass  eine Füllmenge von 10m³. Langsames Fahren mit 0,5km/h, mehrmaliges entlang fahren.  </t>
    </r>
    <r>
      <rPr>
        <u/>
        <sz val="11"/>
        <rFont val="Calibri"/>
        <family val="2"/>
        <scheme val="minor"/>
      </rPr>
      <t>Beraterteam</t>
    </r>
    <r>
      <rPr>
        <sz val="11"/>
        <rFont val="Calibri"/>
        <family val="2"/>
        <scheme val="minor"/>
      </rPr>
      <t>: In trockenen Jahren 2x bewässern. Es sollte nach den ersten 3 Jahren nicht mehr bewässert werden, insbesondere bei Most. Tafelobst hat höhere Priorität.</t>
    </r>
  </si>
  <si>
    <t>Handhacke</t>
  </si>
  <si>
    <t>Die Baumstreifen sind gemulcht, mit der Handhacke soll nur kurz nachgearbeitet werden.</t>
  </si>
  <si>
    <t>Beikrautregulierung Baumscheiben (Q2)</t>
  </si>
  <si>
    <t>Baumschnitt</t>
  </si>
  <si>
    <t>Wird von einem befreundetem Baumwart durchgeführt</t>
  </si>
  <si>
    <t>Nicht relevant, wird durch Baumwart erledigt. 15 min Koordination</t>
  </si>
  <si>
    <t>Baumwart</t>
  </si>
  <si>
    <t>500 € / Tag, davon € 50 Anfahrt: 56,25 € / h</t>
  </si>
  <si>
    <t>Eichhof, Beraterteam, Kruckelmann (2011), Anja</t>
  </si>
  <si>
    <t>ca. 0,5 min / Baum + Rüstzeit (ca. 10 min) + Wege</t>
  </si>
  <si>
    <t>Nachpflanzung</t>
  </si>
  <si>
    <t>Zusätzlich gekaufte Bäume in der Baumschule umpflanzen. Oder neue Sämlinge zur Selbstveredelung nutzen, die gerade (2026) herangezogen werden.</t>
  </si>
  <si>
    <t>Pflanzugt</t>
  </si>
  <si>
    <t>Mulch</t>
  </si>
  <si>
    <t>Baumschutz</t>
  </si>
  <si>
    <t>2-3 Stück</t>
  </si>
  <si>
    <t>15 kg</t>
  </si>
  <si>
    <t>Normanisches Korsett: 5 als Reserve auf Lager. € 31 / Stück</t>
  </si>
  <si>
    <t>Geschätzte Ausfallquote: 5-6 % (2-3 Obstbäume). 3 Obstbäume: Pflanzlöcher ausheben, Wühlmauskorb einbringen, Baum setzen, Pflanzloch verfüllen. Normannisches Korsett anbringen.</t>
  </si>
  <si>
    <t>Eichenpfahl</t>
  </si>
  <si>
    <t>3 Stück</t>
  </si>
  <si>
    <t>Aus dem Bestand. Ca. 1m Abschnitte 1x1m und Maschenweite von 13 mm und einer Drahtstärke von ca. 0,7 mm. € 2,15/Stück.</t>
  </si>
  <si>
    <t>180cm x 8-13 Rücken, € 4,40 / Stück</t>
  </si>
  <si>
    <r>
      <t xml:space="preserve">Gibt es </t>
    </r>
    <r>
      <rPr>
        <b/>
        <sz val="14"/>
        <rFont val="Calibri"/>
        <family val="2"/>
        <scheme val="minor"/>
      </rPr>
      <t>neue Erkenntnisse</t>
    </r>
    <r>
      <rPr>
        <sz val="14"/>
        <rFont val="Calibri"/>
        <family val="2"/>
        <scheme val="minor"/>
      </rPr>
      <t xml:space="preserve"> zu den Futterlauberträgen von Holunder (</t>
    </r>
    <r>
      <rPr>
        <i/>
        <sz val="14"/>
        <rFont val="Calibri"/>
        <family val="2"/>
        <scheme val="minor"/>
      </rPr>
      <t>Sambucus nigra</t>
    </r>
    <r>
      <rPr>
        <sz val="14"/>
        <rFont val="Calibri"/>
        <family val="2"/>
        <scheme val="minor"/>
      </rPr>
      <t xml:space="preserve">)? Bitte an </t>
    </r>
    <r>
      <rPr>
        <sz val="14"/>
        <color rgb="FF3333CC"/>
        <rFont val="Calibri"/>
        <family val="2"/>
        <scheme val="minor"/>
      </rPr>
      <t>oekonomie@defaf.de</t>
    </r>
    <r>
      <rPr>
        <sz val="14"/>
        <rFont val="Calibri"/>
        <family val="2"/>
        <scheme val="minor"/>
      </rPr>
      <t xml:space="preserve"> weiterleiten, um die </t>
    </r>
    <r>
      <rPr>
        <b/>
        <sz val="14"/>
        <rFont val="Calibri"/>
        <family val="2"/>
        <scheme val="minor"/>
      </rPr>
      <t>Berechnungen zu aktualisieren.</t>
    </r>
  </si>
  <si>
    <t>Holunder (jährlich)</t>
  </si>
  <si>
    <t>Neues Obst-AFS, Rieckens Eichhof</t>
  </si>
  <si>
    <t>Hochstämme: 3-4 jährig, Stammumfang 6-8 cm, 41,12€/Stück. Sämlinge: 1jährig, 22€/Stück. 4 Äpfelbäume aus eigener Feldveredelung.</t>
  </si>
  <si>
    <t>36 Hasel, 46 Obstbäume. In den Jahren 1-3: 5 min/ Hasel, 10 min / Obstbaum. 500 € / Tag inklusive Anfahrt und aller benötigten Geräte. Mit 2%igem jährlichem Anstieg der Lohnkosten</t>
  </si>
  <si>
    <t>36 Hasel, 46 Obstbäume. In den Jahren 1-3: 5 min/ Hasel, 10 min / Obstbaum. 500 € / Tag inklusive Anfahrt und aller benötigten Geräte. Mit 2%igem jährlichem Anstieg der Lohnkosten.</t>
  </si>
  <si>
    <t>36 Hasel, 46 Obstbäume. In den Jahren 4-15: 5 min/ Hasel, 25 min / Obstbaum (Aufbauphase). 500 € / Tag inklusive Anfahrt und aller benötigten Geräte. Mit 2%igem jährlichem Anstieg der Lohnkosten.</t>
  </si>
  <si>
    <t>Äpfel, Ertrag Hochstämme</t>
  </si>
  <si>
    <t>20 kg (10-30 kg) vom 6. bis 10. Standjahr</t>
  </si>
  <si>
    <t>60 kg (40-80 kg) vom 11. bis 20. Standjahr</t>
  </si>
  <si>
    <t xml:space="preserve">210 kg (150-250 kg) vom 21. bis 50. Standjahr </t>
  </si>
  <si>
    <t>Birnen, Ertrag Hochstämme</t>
  </si>
  <si>
    <t>ansonsten wie Äpfel (Annahme)</t>
  </si>
  <si>
    <t>200 kg im Vollertrag (Durchschnittswert für Hochstämme, S. 14)</t>
  </si>
  <si>
    <t>Zwetschgen, Ertrag Hochstämme</t>
  </si>
  <si>
    <t>ansonsten prozentual wie Äpfel (Annahme)</t>
  </si>
  <si>
    <t>Äpfel</t>
  </si>
  <si>
    <t>Birnen</t>
  </si>
  <si>
    <t>Zwetschgen</t>
  </si>
  <si>
    <t>Jahr 11-20</t>
  </si>
  <si>
    <t>Jahr 21-50</t>
  </si>
  <si>
    <t>kg/Baum</t>
  </si>
  <si>
    <t>55 kg im Vollertrag (Durchschnittswert für Hochstämme, S. 20)</t>
  </si>
  <si>
    <t>Erträge</t>
  </si>
  <si>
    <t>Pflückzeiten Äpfel und Birnen</t>
  </si>
  <si>
    <t>Pflückzeiten Zwetschgen</t>
  </si>
  <si>
    <t>min/Baum</t>
  </si>
  <si>
    <t>kg 20 Bäume</t>
  </si>
  <si>
    <t>kg 18 Bäume</t>
  </si>
  <si>
    <t>kg 8 Bäume</t>
  </si>
  <si>
    <t>Jahr 5-10</t>
  </si>
  <si>
    <t>Tafelobst in € / kg</t>
  </si>
  <si>
    <t>Mostobst in € / kg</t>
  </si>
  <si>
    <t xml:space="preserve">Erlöse </t>
  </si>
  <si>
    <t xml:space="preserve"> € Tafelobst (20%)</t>
  </si>
  <si>
    <t>€ Mostobst in (75%)</t>
  </si>
  <si>
    <t xml:space="preserve"> € Tafelobst (90%)</t>
  </si>
  <si>
    <r>
      <t xml:space="preserve">Gibt es </t>
    </r>
    <r>
      <rPr>
        <b/>
        <sz val="12"/>
        <rFont val="Calibri"/>
        <family val="2"/>
        <scheme val="minor"/>
      </rPr>
      <t>neue Informationen</t>
    </r>
    <r>
      <rPr>
        <sz val="12"/>
        <rFont val="Calibri"/>
        <family val="2"/>
        <scheme val="minor"/>
      </rPr>
      <t xml:space="preserve"> zu den durchschnittlichen Erträgen und Erntezeiten von Zwetschgen und weitere Updates zur Berechnung? Bitte an </t>
    </r>
    <r>
      <rPr>
        <sz val="12"/>
        <color rgb="FF3333CC"/>
        <rFont val="Calibri"/>
        <family val="2"/>
        <scheme val="minor"/>
      </rPr>
      <t>oekonomie@defaf.de</t>
    </r>
    <r>
      <rPr>
        <sz val="12"/>
        <rFont val="Calibri"/>
        <family val="2"/>
        <scheme val="minor"/>
      </rPr>
      <t xml:space="preserve"> weiterleiten, um die </t>
    </r>
    <r>
      <rPr>
        <b/>
        <sz val="12"/>
        <rFont val="Calibri"/>
        <family val="2"/>
        <scheme val="minor"/>
      </rPr>
      <t>Berechnungen zu aktualisieren.</t>
    </r>
  </si>
  <si>
    <t>Apfelernte</t>
  </si>
  <si>
    <t>Birnenernte</t>
  </si>
  <si>
    <t>Zwetschgenernte</t>
  </si>
  <si>
    <t>Teleskopstange mit Schüttelhaken</t>
  </si>
  <si>
    <t>Ernte mit Teleskopstange mit Schüttelhaken; Aufsammeln manuell oder mit Rollsammler</t>
  </si>
  <si>
    <t>für 8 Zwetschgen</t>
  </si>
  <si>
    <t>für 20 Äpfel</t>
  </si>
  <si>
    <t>für 18 Birnen</t>
  </si>
  <si>
    <t>s. Tabellenblatt 'Obsterlös'</t>
  </si>
  <si>
    <t>Rollsammler</t>
  </si>
  <si>
    <t>€ 50 / Stück, für drei Arbeitskräfte, kann für Äpfel, Birnen und Zwetschgen genutzt werden. Der Erlös addiert die Einküfte aus Tafelobst und Mostobst. Preisanstieg von 3%/Jahr.</t>
  </si>
  <si>
    <t>Einkünfte aus Tafelobst; Preisanstieg von 3%/Jahr.</t>
  </si>
  <si>
    <t>€28 / Stück, für drei Arbeitskräfte, kann für Äpfel, Birnen und Zwetschgen genutzt werden. Der Erlös addiert die Einküfte aus Tafelobst und Mostobst. Preisanstieg von 3%/Jahr.</t>
  </si>
  <si>
    <t>Teleskopstange mit Schüttelhaken, Rollsammler</t>
  </si>
  <si>
    <t>Geräte können für Äpfel, Birnen und Zwetschgen genutzt werden. Der Erlös addiert die Einküfte aus Tafelobst und Mostobst. Preisanstieg von 3%/Jahr.</t>
  </si>
  <si>
    <t>Aufsammeln Jahr 21-50</t>
  </si>
  <si>
    <t>Aufsammeln Jahr 11-20</t>
  </si>
  <si>
    <t>Aufsammeln Jahr 5-10</t>
  </si>
  <si>
    <t>Schütteln Jahr 5-10</t>
  </si>
  <si>
    <t>Schütteln Jahr 11-20</t>
  </si>
  <si>
    <t>Schütteln Jahr 21-50</t>
  </si>
  <si>
    <t>Insg. 3 AK, min pro AK</t>
  </si>
  <si>
    <t>Arbeitszeit in min</t>
  </si>
  <si>
    <t>Aufsammeln Jahr 5-10 (manuell oder Rollsammler)</t>
  </si>
  <si>
    <t>Aufsammeln Jahr 11-20 (manuell oder Rollsammler)</t>
  </si>
  <si>
    <r>
      <t>Aufsammeln Jahr 21-50 (Obstraupe/</t>
    </r>
    <r>
      <rPr>
        <sz val="12"/>
        <color rgb="FF3333CC"/>
        <rFont val="Calibri"/>
        <family val="2"/>
        <scheme val="minor"/>
      </rPr>
      <t>Rollsammler</t>
    </r>
    <r>
      <rPr>
        <sz val="12"/>
        <color rgb="FFC00000"/>
        <rFont val="Calibri"/>
        <family val="2"/>
        <scheme val="minor"/>
      </rPr>
      <t>)</t>
    </r>
  </si>
  <si>
    <t xml:space="preserve">Ernte mit Teleskopstange mit Schüttelhaken; Aufsammeln mit Rollsammler. </t>
  </si>
  <si>
    <t>Ernte mit Teleskopstange mit Schüttelhaken; Aufsammeln mit Obstraupe.</t>
  </si>
  <si>
    <t>Obstraupe</t>
  </si>
  <si>
    <t>Sammelleistung Obstraupe: 600 kg/h (bis 700 kg/ h). Obstraupe kann für Äpfel und Birnen genutzt werden. Der Erlös addiert die Einküfte aus Tafelobst und Mostobst. Preisanstieg von 3%/Jahr.</t>
  </si>
  <si>
    <t>Preis: € 2.900 (2.500–3.400 €); jährlicher Preisanstieg von 3%; Sammelleistung: 600 kg/h (bis 700 kg/ h). Obstraupe kann für Äpfel und Birnen genutzt werden. Der Erlös addiert die Einküfte aus Tafelobst und Mostobst. Preisanstieg von 3%/Jahr.</t>
  </si>
  <si>
    <t>Teleskopstange mit Schüttelhaken, Obstraupe</t>
  </si>
  <si>
    <t>Eichhof, Beraterteam, s. Tabellenblatt 'Obsterlös'</t>
  </si>
  <si>
    <t>Schubkarre, Obstkisten, Kramerschaufel</t>
  </si>
  <si>
    <t>5 % der Erntezeit (zusätzlich)</t>
  </si>
  <si>
    <t>Obstkisten</t>
  </si>
  <si>
    <t>1 Kiste / 5 kg, € 12/Stück. Anzahl Obstkisten (s. Tabellenblatt Obsterlös zur Ertragsmenge); 20%, denn es werden nicht alle Kisten gleichzeitig benötigt.</t>
  </si>
  <si>
    <t>17 €/h</t>
  </si>
  <si>
    <t>Fendt Favorit, Anhänger, Obstkisten</t>
  </si>
  <si>
    <t>20 Äpfel</t>
  </si>
  <si>
    <t>18 Birnen</t>
  </si>
  <si>
    <t>8 Zwetschgen</t>
  </si>
  <si>
    <t>1 Birne</t>
  </si>
  <si>
    <t>1 Apfel</t>
  </si>
  <si>
    <t>1 Zwetschge</t>
  </si>
  <si>
    <t>Erlöse / kg</t>
  </si>
  <si>
    <t>Annahme: 5% der Ernte nicht verwertbar</t>
  </si>
  <si>
    <t>Annahme: 10% der Ernte nicht verwertbar</t>
  </si>
  <si>
    <t>Lagerung</t>
  </si>
  <si>
    <t>Kontrolle der Lageräpfel/-birnen auf Schadstellen</t>
  </si>
  <si>
    <t>50% des Tafelobstes, 5kg Kisten, 1,5 min/Kiste, 4 Kontrollen</t>
  </si>
  <si>
    <r>
      <t xml:space="preserve">Gibt es </t>
    </r>
    <r>
      <rPr>
        <b/>
        <sz val="12"/>
        <rFont val="Calibri"/>
        <family val="2"/>
        <scheme val="minor"/>
      </rPr>
      <t>neue Informationen</t>
    </r>
    <r>
      <rPr>
        <sz val="12"/>
        <rFont val="Calibri"/>
        <family val="2"/>
        <scheme val="minor"/>
      </rPr>
      <t xml:space="preserve"> zu den durchschnittlichen Erträgen und Erntezeiten oder weitere Updates zur Berechnung? Bitte an </t>
    </r>
    <r>
      <rPr>
        <sz val="12"/>
        <color rgb="FF3333CC"/>
        <rFont val="Calibri"/>
        <family val="2"/>
        <scheme val="minor"/>
      </rPr>
      <t>oekonomie@defaf.de</t>
    </r>
    <r>
      <rPr>
        <sz val="12"/>
        <rFont val="Calibri"/>
        <family val="2"/>
        <scheme val="minor"/>
      </rPr>
      <t xml:space="preserve"> weiterleiten, um die </t>
    </r>
    <r>
      <rPr>
        <b/>
        <sz val="12"/>
        <rFont val="Calibri"/>
        <family val="2"/>
        <scheme val="minor"/>
      </rPr>
      <t>Berechnungen zu aktualisieren.</t>
    </r>
  </si>
  <si>
    <t>Erträge Hallesche Riesennuss in kg/Baum</t>
  </si>
  <si>
    <t>Jahr 3</t>
  </si>
  <si>
    <t>Jahr 4</t>
  </si>
  <si>
    <t>Jahr 5</t>
  </si>
  <si>
    <t>Jahr 6</t>
  </si>
  <si>
    <t>Jahr 7</t>
  </si>
  <si>
    <t>Jahr 8</t>
  </si>
  <si>
    <t>Jahr 9</t>
  </si>
  <si>
    <t>Jahr 10</t>
  </si>
  <si>
    <t>Jahr 11</t>
  </si>
  <si>
    <t>Jahr 12</t>
  </si>
  <si>
    <t>mittlerer Ertrag in kg / Baum Jahr 3 - 6 (Aufbauphase, mit ansteigenden Erträgen)</t>
  </si>
  <si>
    <t>mittlerer Ertrag in kg / Baum Jahr 7 - 12 (Vollertragsphase)</t>
  </si>
  <si>
    <t>jährlicher Gesamtertrag in kg, Jahr 3 - 6</t>
  </si>
  <si>
    <t>jährlicher Gesamtertrag in kg, Gesamtertrag ab Jahr 7</t>
  </si>
  <si>
    <t>Ertrag für 33 Nüsse</t>
  </si>
  <si>
    <t>Ertrag / Baum</t>
  </si>
  <si>
    <t>Erlöse (ungeschält, Bio-Qualität)</t>
  </si>
  <si>
    <t xml:space="preserve">€/kg </t>
  </si>
  <si>
    <t>Gesamterlös in € Jahr 3-6</t>
  </si>
  <si>
    <t>Gesamterlös in € ab Jahr 7</t>
  </si>
  <si>
    <t>Haselnussernte</t>
  </si>
  <si>
    <t>Ernte: Arbeitszeit in min</t>
  </si>
  <si>
    <t>Rollblitz Haselnuss</t>
  </si>
  <si>
    <t>€ 89/Stück (mit Teleskopstab), Quelle: https://shop.feucht-obsttechnik.de/Rollblitz-Haselnuss-Teleskopstab/7170022</t>
  </si>
  <si>
    <t>Ernte mit Rollblitz Haselnuss</t>
  </si>
  <si>
    <t>15 kg / h, da der Untergrund, z.B. durch Mulch, nicht glatt ist</t>
  </si>
  <si>
    <t>min in  Jahr 3 - 6; dazu 20% zum Reinigen der Nüsse und zum Transport ins Lager</t>
  </si>
  <si>
    <t>min ab Jahr 7; dazu 20% zum Reinigen der Nüsse und zum Transport ins Lager</t>
  </si>
  <si>
    <t>s. Tabellenblatt 'Haselnusserlös'</t>
  </si>
  <si>
    <t>Ernte mit Rollblitz. Die geernteten Nüsse werden vor Ort gereinigt und anschliessend im Heizungslager der Holzhackschnitzelheitzung getrocknet.</t>
  </si>
  <si>
    <t>Kaffeesäcke</t>
  </si>
  <si>
    <t>nach Bedarf</t>
  </si>
  <si>
    <t>Durchschnittlicher Ertrag und Erlös: s. Excelblatt 'Haselnusserlös'.  Preisanstieg von 3%/Jahr. Gebrauchte (ehemalige) Kaffeesäcke sind vorhanden.</t>
  </si>
  <si>
    <t>Arbeitsschritt geplant oder noch nicht erfasst</t>
  </si>
  <si>
    <t>36 Hasel, 46 Obstbäume. In den Jahren 16-25 (ff): 5 min/ Hasel, 20 min / Obstbaum (Ertragsphase). 500 € / Tag inklusive Anfahrt und aller benötigten Geräte.  Mit 2%igem jährlichem Anstieg der Lohnkosten.</t>
  </si>
  <si>
    <t>Maschinenkosten (Raupenbagger fehlt) --&gt; ca. 1 h</t>
  </si>
  <si>
    <t>Teleskoplader: 35 € /h, Raupenbagger: 17 € / h</t>
  </si>
  <si>
    <t>€ 17 / h</t>
  </si>
  <si>
    <r>
      <rPr>
        <u/>
        <sz val="11"/>
        <rFont val="Calibri"/>
        <family val="2"/>
        <scheme val="minor"/>
      </rPr>
      <t>Eichhof</t>
    </r>
    <r>
      <rPr>
        <sz val="11"/>
        <rFont val="Calibri"/>
        <family val="2"/>
        <scheme val="minor"/>
      </rPr>
      <t xml:space="preserve">: Kontrolle der Tafeläpfel und -birnen auf Schadstellen alle 2 Wochen. 1-2 min / Kiste. </t>
    </r>
    <r>
      <rPr>
        <u/>
        <sz val="11"/>
        <rFont val="Calibri"/>
        <family val="2"/>
        <scheme val="minor"/>
      </rPr>
      <t>Annahme</t>
    </r>
    <r>
      <rPr>
        <sz val="11"/>
        <rFont val="Calibri"/>
        <family val="2"/>
        <scheme val="minor"/>
      </rPr>
      <t>: 50% der Tafeläpfel und -birnen werden eingelagert (20% der Ernte sind Tafelobst). Kontrollen über einen Zeitraum von 8 Wochen (also insg. 4). Einlagerung von Tafelobst beginnt erst mit größerer Erntemenge (ab Jahr 11).</t>
    </r>
  </si>
  <si>
    <r>
      <rPr>
        <u/>
        <sz val="12"/>
        <rFont val="Calibri"/>
        <family val="2"/>
        <scheme val="minor"/>
      </rPr>
      <t>Quelle</t>
    </r>
    <r>
      <rPr>
        <sz val="12"/>
        <rFont val="Calibri"/>
        <family val="2"/>
        <scheme val="minor"/>
      </rPr>
      <t>: M. Penzel &amp; M. Möhler (2022) Ertragsleistung von 14 Haselnussorten über 12 Jahre im Spindelsystem (https://tlllr.thueringen.de/fileadmin/TLLLR/Themen/Gartenbau/Gartenbauliches_Versuchswesen/2022_16567_jfk_penzel_moehler.pdf)</t>
    </r>
  </si>
  <si>
    <r>
      <rPr>
        <u/>
        <sz val="12"/>
        <rFont val="Calibri"/>
        <family val="2"/>
        <scheme val="minor"/>
      </rPr>
      <t>Quelle</t>
    </r>
    <r>
      <rPr>
        <sz val="12"/>
        <rFont val="Calibri"/>
        <family val="2"/>
        <scheme val="minor"/>
      </rPr>
      <t>: Onlinerecherche 07/2026</t>
    </r>
  </si>
  <si>
    <r>
      <rPr>
        <u/>
        <sz val="12"/>
        <rFont val="Calibri"/>
        <family val="2"/>
        <scheme val="minor"/>
      </rPr>
      <t>Quelle</t>
    </r>
    <r>
      <rPr>
        <sz val="12"/>
        <rFont val="Calibri"/>
        <family val="2"/>
        <scheme val="minor"/>
      </rPr>
      <t>: Betrieb in Polen</t>
    </r>
  </si>
  <si>
    <r>
      <t xml:space="preserve">Haselnuss 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(Ernte beginnt nach 3-4 Jahren)</t>
    </r>
  </si>
  <si>
    <r>
      <rPr>
        <u/>
        <sz val="12"/>
        <rFont val="Calibri"/>
        <family val="2"/>
        <scheme val="minor"/>
      </rPr>
      <t>Quelle</t>
    </r>
    <r>
      <rPr>
        <sz val="12"/>
        <rFont val="Calibri"/>
        <family val="2"/>
        <scheme val="minor"/>
      </rPr>
      <t>: DeFAF-KTBL-Handreichung - Produkte, Erträge und Ernteverfahren in Agroforstsystemen (https://agroforst-info.de/wp-content/uploads/2025/12/2025-DeFAF.KTBL-Handreichung_AFS.Ertraege.Teil1_Chalmin29.12.25.pdf)</t>
    </r>
  </si>
  <si>
    <r>
      <rPr>
        <u/>
        <sz val="12"/>
        <rFont val="Calibri"/>
        <family val="2"/>
        <scheme val="minor"/>
      </rPr>
      <t>Quelle</t>
    </r>
    <r>
      <rPr>
        <sz val="12"/>
        <rFont val="Calibri"/>
        <family val="2"/>
        <scheme val="minor"/>
      </rPr>
      <t>: DeFAF-KTBL-Handreichung - Verfahren zur Ernte von Bäumen in Agroforstsystemen (https://www.ktbl.de/fileadmin/user_upload/Allgemeines/Download/Agroforst/Ernteverfahren_Agroforst_bf.pdf)</t>
    </r>
  </si>
  <si>
    <r>
      <t xml:space="preserve">Obsterlöse </t>
    </r>
    <r>
      <rPr>
        <sz val="12"/>
        <rFont val="Calibri"/>
        <family val="2"/>
        <scheme val="minor"/>
      </rPr>
      <t>(Laut Leitfaden wird ab Jahr 5-6 geerntet)</t>
    </r>
  </si>
  <si>
    <r>
      <rPr>
        <u/>
        <sz val="12"/>
        <rFont val="Calibri"/>
        <family val="2"/>
        <scheme val="minor"/>
      </rPr>
      <t>Quelle</t>
    </r>
    <r>
      <rPr>
        <sz val="12"/>
        <rFont val="Calibri"/>
        <family val="2"/>
        <scheme val="minor"/>
      </rPr>
      <t>: LfL 2024, s. DeFAF-KTBL-Handreichung - Produkte, Erträge und Ernteverfahren in Agroforstsystemen (https://agroforst-info.de/wp-content/uploads/2025/12/2025-DeFAF.KTBL-Handreichung_AFS.Ertraege.Teil1_Chalmin29.12.25.pdf)</t>
    </r>
  </si>
  <si>
    <t>Transport ins Lager</t>
  </si>
  <si>
    <t>1 Kiste / 5 kg, € 12/Stück. Anzahl Obstkisten (s. Tabellenblatt Obsterlös zur Ertragsmenge); 20%, denn es werden nicht alle Kisten gleichzeitig benötigt. Kosten mit 3% verzinst.</t>
  </si>
  <si>
    <r>
      <t>Futterlauberlöse</t>
    </r>
    <r>
      <rPr>
        <sz val="12"/>
        <rFont val="Calibri"/>
        <family val="2"/>
        <scheme val="minor"/>
      </rPr>
      <t xml:space="preserve"> (Laut Leitfaden wird Futterlaub ab Jahr 5 geerntet)</t>
    </r>
  </si>
  <si>
    <r>
      <rPr>
        <u/>
        <sz val="11"/>
        <rFont val="Calibri"/>
        <family val="2"/>
        <scheme val="minor"/>
      </rPr>
      <t>Ernte der einjährigen Triebe</t>
    </r>
    <r>
      <rPr>
        <sz val="11"/>
        <rFont val="Calibri"/>
        <family val="2"/>
        <scheme val="minor"/>
      </rPr>
      <t>:  30 min pro Woche inkl. Rüstzeit über ~8 Wochen.</t>
    </r>
  </si>
  <si>
    <r>
      <t xml:space="preserve">2. Betriebswirtschaftlich relevante </t>
    </r>
    <r>
      <rPr>
        <b/>
        <sz val="12"/>
        <rFont val="Calibri"/>
        <family val="2"/>
        <scheme val="minor"/>
      </rPr>
      <t>Ökosystemleistungen</t>
    </r>
    <r>
      <rPr>
        <sz val="12"/>
        <rFont val="Calibri"/>
        <family val="2"/>
        <scheme val="minor"/>
      </rPr>
      <t xml:space="preserve"> wie Windschutz, Schatten und mehr Tierwohl bleiben in der Kapitalwertrechnung unberücksichtigt.</t>
    </r>
  </si>
  <si>
    <r>
      <t xml:space="preserve">3. Die </t>
    </r>
    <r>
      <rPr>
        <b/>
        <sz val="12"/>
        <rFont val="Calibri"/>
        <family val="2"/>
        <scheme val="minor"/>
      </rPr>
      <t>Infrastruktur</t>
    </r>
    <r>
      <rPr>
        <sz val="12"/>
        <rFont val="Calibri"/>
        <family val="2"/>
        <scheme val="minor"/>
      </rPr>
      <t xml:space="preserve"> für Lagerung &amp; Kühlung ist vorhanden.</t>
    </r>
  </si>
  <si>
    <r>
      <t xml:space="preserve">4. Kosten und Erlöse aus der </t>
    </r>
    <r>
      <rPr>
        <b/>
        <sz val="12"/>
        <rFont val="Calibri"/>
        <family val="2"/>
        <scheme val="minor"/>
      </rPr>
      <t>Verarbeitung</t>
    </r>
    <r>
      <rPr>
        <sz val="12"/>
        <rFont val="Calibri"/>
        <family val="2"/>
        <scheme val="minor"/>
      </rPr>
      <t>, z.B. das Mosten, werden in der Berechnung nicht berücksichtigt. D.h., im Vergleich zum jetzigen Ansatz sind zusätzliche Erlöse durch eine größere Gewinnspanne möglich.</t>
    </r>
  </si>
  <si>
    <t>Leitfaden S. 37:</t>
  </si>
  <si>
    <t>Ernte ab Jahr 5 - jährliche Steigerungen</t>
  </si>
  <si>
    <t>Leitfaden S. 43:</t>
  </si>
  <si>
    <t>Ab Jahr 11 Vollertrag der Obstbäume</t>
  </si>
  <si>
    <t>Leitfaden S. 36:</t>
  </si>
  <si>
    <t>8 Zwetschgen, 20 Äpfel, 18 Birnen</t>
  </si>
  <si>
    <t>Obstanbau zum Verkauf, 10% Tafelobst &amp; Lagersorten (=20% Tafelobstqualität), &gt;70% eigenes Mosten für Mischsaft und 5% event. Weitere Veredelung</t>
  </si>
  <si>
    <t>Tafelobst:</t>
  </si>
  <si>
    <t>Mostobst:</t>
  </si>
  <si>
    <t>3,25 €/kg für bio-zertifizierte Äpfel (Durchschnittswert FistalBIO 2025)</t>
  </si>
  <si>
    <t>~ 17 € / dt (Durchschnittswert 2024)</t>
  </si>
  <si>
    <t>€ 4,30 (Durchschnittswert 2024+2025, S.14)</t>
  </si>
  <si>
    <t>~ 15 € / dt (Durchschnittswert 2024, Aufpreisinititative Steinkauz)</t>
  </si>
  <si>
    <t>Insg. 36 Haselnüsse:</t>
  </si>
  <si>
    <t>33 Hallesche Riesennuss und drei Bestäuberpflanzen (2x Katalonski, 1x Tonda di Giffoni)</t>
  </si>
  <si>
    <r>
      <rPr>
        <u/>
        <sz val="12"/>
        <rFont val="Calibri"/>
        <family val="2"/>
        <scheme val="minor"/>
      </rPr>
      <t>Baumstreifen</t>
    </r>
    <r>
      <rPr>
        <sz val="12"/>
        <rFont val="Calibri"/>
        <family val="2"/>
        <scheme val="minor"/>
      </rPr>
      <t>:</t>
    </r>
  </si>
  <si>
    <r>
      <rPr>
        <u/>
        <sz val="12"/>
        <rFont val="Calibri"/>
        <family val="2"/>
        <scheme val="minor"/>
      </rPr>
      <t>Verwendung</t>
    </r>
    <r>
      <rPr>
        <sz val="12"/>
        <rFont val="Calibri"/>
        <family val="2"/>
        <scheme val="minor"/>
      </rPr>
      <t>:</t>
    </r>
  </si>
  <si>
    <r>
      <rPr>
        <u/>
        <sz val="12"/>
        <rFont val="Calibri"/>
        <family val="2"/>
        <scheme val="minor"/>
      </rPr>
      <t>Seitentriebe</t>
    </r>
    <r>
      <rPr>
        <sz val="12"/>
        <rFont val="Calibri"/>
        <family val="2"/>
        <scheme val="minor"/>
      </rPr>
      <t>:</t>
    </r>
  </si>
  <si>
    <r>
      <rPr>
        <u/>
        <sz val="12"/>
        <rFont val="Calibri"/>
        <family val="2"/>
        <scheme val="minor"/>
      </rPr>
      <t>Orientierungswert</t>
    </r>
    <r>
      <rPr>
        <sz val="12"/>
        <rFont val="Calibri"/>
        <family val="2"/>
        <scheme val="minor"/>
      </rPr>
      <t>:</t>
    </r>
  </si>
  <si>
    <t>insg. 574 m Länge, 2 m Breite. Fläche: 1.148 m² = 0,115 ha</t>
  </si>
  <si>
    <t>Motormanuelle Ernte der einjährigen Triebe</t>
  </si>
  <si>
    <t>Als Frischfutter im Sommer</t>
  </si>
  <si>
    <t>Quelle: M. Machatschek, Laubgeschichten</t>
  </si>
  <si>
    <t>125 kg Laubreisig entspricht etwa 100 kg mittelgutem Wiesenheu</t>
  </si>
  <si>
    <t>1,4 t TM pro ha und Jahr bei einer ungedüngten, dreijährigen Pflanzung als Futterlaub</t>
  </si>
  <si>
    <t>Quelle: https://revistas.uptc.edu.co/index.php/ciencia_en_desarrollo/article/download/9098/8635/33004</t>
  </si>
  <si>
    <r>
      <rPr>
        <u/>
        <sz val="12"/>
        <rFont val="Calibri"/>
        <family val="2"/>
        <scheme val="minor"/>
      </rPr>
      <t>Anteil im Baumstreifen</t>
    </r>
    <r>
      <rPr>
        <sz val="12"/>
        <rFont val="Calibri"/>
        <family val="2"/>
        <scheme val="minor"/>
      </rPr>
      <t xml:space="preserve">: </t>
    </r>
  </si>
  <si>
    <t xml:space="preserve">Ertrag: </t>
  </si>
  <si>
    <t>Entspricht:</t>
  </si>
  <si>
    <t>40 Pflanzen von insg. 118 Gehölzen = 34%. 34% der Fläche entspricht 0,04 ha</t>
  </si>
  <si>
    <r>
      <rPr>
        <b/>
        <sz val="12"/>
        <rFont val="Calibri"/>
        <family val="2"/>
        <scheme val="minor"/>
      </rPr>
      <t>120 kg / Jahr</t>
    </r>
    <r>
      <rPr>
        <sz val="12"/>
        <rFont val="Calibri"/>
        <family val="2"/>
        <scheme val="minor"/>
      </rPr>
      <t xml:space="preserve"> auf 0,04 ha (</t>
    </r>
    <r>
      <rPr>
        <b/>
        <sz val="12"/>
        <rFont val="Calibri"/>
        <family val="2"/>
        <scheme val="minor"/>
      </rPr>
      <t>bei 3t TM/ ha &amp; Jahr</t>
    </r>
    <r>
      <rPr>
        <sz val="12"/>
        <rFont val="Calibri"/>
        <family val="2"/>
        <scheme val="minor"/>
      </rPr>
      <t>)</t>
    </r>
  </si>
  <si>
    <r>
      <t xml:space="preserve">96 kg mittelgutem Wiesenheu </t>
    </r>
    <r>
      <rPr>
        <sz val="12"/>
        <rFont val="Calibri"/>
        <family val="2"/>
        <scheme val="minor"/>
      </rPr>
      <t>(s.Machatschek) =  0,96 dt/Jahr</t>
    </r>
  </si>
  <si>
    <t>€ 7,24 (Durchschnittswert 2025, S.20)</t>
  </si>
  <si>
    <r>
      <rPr>
        <b/>
        <sz val="12"/>
        <color theme="2"/>
        <rFont val="Calibri"/>
        <family val="2"/>
        <scheme val="minor"/>
      </rPr>
      <t>Teleskopstange mit Schüttelhaken</t>
    </r>
    <r>
      <rPr>
        <sz val="12"/>
        <color theme="2"/>
        <rFont val="Calibri"/>
        <family val="2"/>
        <scheme val="minor"/>
      </rPr>
      <t>:</t>
    </r>
  </si>
  <si>
    <t>50 € Gerätekosten, 20 min / Baum</t>
  </si>
  <si>
    <t>Rollsammmler:</t>
  </si>
  <si>
    <t>€28 / Stück</t>
  </si>
  <si>
    <t>Aufsammeln (manuell oder mit Rollsammler):</t>
  </si>
  <si>
    <r>
      <t xml:space="preserve">90 - 250 kg / h, </t>
    </r>
    <r>
      <rPr>
        <b/>
        <sz val="12"/>
        <color rgb="FF3333CC"/>
        <rFont val="Calibri"/>
        <family val="2"/>
        <scheme val="minor"/>
      </rPr>
      <t>Konservativer Wert: 100 kg / h</t>
    </r>
  </si>
  <si>
    <r>
      <rPr>
        <b/>
        <sz val="12"/>
        <color theme="5" tint="-0.249977111117893"/>
        <rFont val="Calibri"/>
        <family val="2"/>
        <scheme val="minor"/>
      </rPr>
      <t>Obstraupe</t>
    </r>
    <r>
      <rPr>
        <sz val="12"/>
        <color theme="5" tint="-0.249977111117893"/>
        <rFont val="Calibri"/>
        <family val="2"/>
        <scheme val="minor"/>
      </rPr>
      <t>:</t>
    </r>
  </si>
  <si>
    <t>Preis 2.500–3.400 €; Sammelleistung bis 700 kg/ h</t>
  </si>
  <si>
    <t>Teleskopstange mit Schüttelhaken:</t>
  </si>
  <si>
    <t xml:space="preserve">50 € Gerätekosten, Schütteln: ~15 min / Baum. </t>
  </si>
  <si>
    <t>~100 kg / h</t>
  </si>
  <si>
    <r>
      <t>1. Die</t>
    </r>
    <r>
      <rPr>
        <b/>
        <sz val="12"/>
        <rFont val="Calibri"/>
        <family val="2"/>
        <scheme val="minor"/>
      </rPr>
      <t xml:space="preserve"> primären Ziele</t>
    </r>
    <r>
      <rPr>
        <sz val="12"/>
        <rFont val="Calibri"/>
        <family val="2"/>
        <scheme val="minor"/>
      </rPr>
      <t xml:space="preserve"> dieses Agroforstsystems sind (1) Obstanbau zum Verkauf, (2) Verlängerung der Weidezeit und Förderung des Tierwohls, (3) Agroforstbildung ausbauen</t>
    </r>
  </si>
  <si>
    <t>Erläuterungen:</t>
  </si>
  <si>
    <r>
      <t xml:space="preserve">Die </t>
    </r>
    <r>
      <rPr>
        <b/>
        <sz val="12"/>
        <rFont val="Calibri"/>
        <family val="2"/>
        <scheme val="minor"/>
      </rPr>
      <t>Annuität</t>
    </r>
    <r>
      <rPr>
        <sz val="12"/>
        <rFont val="Calibri"/>
        <family val="2"/>
        <scheme val="minor"/>
      </rPr>
      <t xml:space="preserve"> wandelt den auf 25 Jahre berechneten Kapitalwert in einen gleichbleibenden Jahresbetrag für denselben Zeitraum um. Sie ist besonders hilfreich, wenn sich Gehölze und Zahlungszeitpunkte stark unterscheiden.</t>
    </r>
  </si>
  <si>
    <r>
      <t xml:space="preserve">Ein positiver </t>
    </r>
    <r>
      <rPr>
        <b/>
        <sz val="12"/>
        <rFont val="Calibri"/>
        <family val="2"/>
        <scheme val="minor"/>
      </rPr>
      <t>Kapitalwert</t>
    </r>
    <r>
      <rPr>
        <sz val="12"/>
        <rFont val="Calibri"/>
        <family val="2"/>
        <scheme val="minor"/>
      </rPr>
      <t xml:space="preserve"> bedeutet, dass die geforderte Rendite von 4 % überstiegen wird. Ein Kapitalwert von null bedeutet, dass dieser Schwellenwert exakt erreicht wird.</t>
    </r>
  </si>
  <si>
    <r>
      <t xml:space="preserve">Der </t>
    </r>
    <r>
      <rPr>
        <b/>
        <sz val="12"/>
        <rFont val="Calibri"/>
        <family val="2"/>
        <scheme val="minor"/>
      </rPr>
      <t>Abzinsfaktor</t>
    </r>
    <r>
      <rPr>
        <sz val="12"/>
        <rFont val="Calibri"/>
        <family val="2"/>
        <scheme val="minor"/>
      </rPr>
      <t xml:space="preserve"> rechnet eine zukünftige Zahlung auf ihren heutigen Wert, den </t>
    </r>
    <r>
      <rPr>
        <b/>
        <sz val="12"/>
        <rFont val="Calibri"/>
        <family val="2"/>
        <scheme val="minor"/>
      </rPr>
      <t>Barwert</t>
    </r>
    <r>
      <rPr>
        <sz val="12"/>
        <rFont val="Calibri"/>
        <family val="2"/>
        <scheme val="minor"/>
      </rPr>
      <t>, zurück. Er berücksichtigt, dass ein Euro heute mehr wert ist als ein Euro in der Zukunft, da er bis dahin verzinst angelegt werden könnte.</t>
    </r>
  </si>
  <si>
    <r>
      <t xml:space="preserve">Bei dieser Berechnung wird </t>
    </r>
    <r>
      <rPr>
        <b/>
        <sz val="12"/>
        <rFont val="Calibri"/>
        <family val="2"/>
        <scheme val="minor"/>
      </rPr>
      <t>ausschließlich der  Baumstreifen</t>
    </r>
    <r>
      <rPr>
        <sz val="12"/>
        <rFont val="Calibri"/>
        <family val="2"/>
        <scheme val="minor"/>
      </rPr>
      <t xml:space="preserve"> betrachtet - nicht das gesamte Agroforstsystem. Er wird mithilfe der Kapitalwertmethode als Investition bewertet. Diese Methode prüft, ob sich eine </t>
    </r>
    <r>
      <rPr>
        <b/>
        <sz val="12"/>
        <rFont val="Calibri"/>
        <family val="2"/>
        <scheme val="minor"/>
      </rPr>
      <t>langfristige Investition</t>
    </r>
    <r>
      <rPr>
        <sz val="12"/>
        <rFont val="Calibri"/>
        <family val="2"/>
        <scheme val="minor"/>
      </rPr>
      <t xml:space="preserve"> wirtschaftlich lohnt. Dazu werden alle künftig erwarteten Ein- und Auszahlungen, z.B. Pflegekosten, auf ihren heutigen Wert umgerechnet. Grundidee:  Ein Euro heute ist mehr wert als ein Euro in der Zukunft, da verfügbares Geld alternativ angelegt und verzinst werden kann. Künftige Ein- und Auszahlungen werden deshalb mit einem Zinssatz auf den heutigen Zeitpunkt abgezinst. Sollen mehrere langfristige Investitionsmöglichkeiten – etwa verschiedene Gehölzarten im Baumstreifen oder eine alternative Geldanlage wie ein Festgeldkonto – verglichen werden, wird in der Regel die Option mit dem höchsten positiven Kapitalwert bevorzugt. </t>
    </r>
    <r>
      <rPr>
        <b/>
        <sz val="12"/>
        <rFont val="Calibri"/>
        <family val="2"/>
        <scheme val="minor"/>
      </rPr>
      <t>Ökosystemleistungen</t>
    </r>
    <r>
      <rPr>
        <sz val="12"/>
        <rFont val="Calibri"/>
        <family val="2"/>
        <scheme val="minor"/>
      </rPr>
      <t xml:space="preserve"> werden in dieser Berechnung in der Regel nicht monetär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</si>
</sst>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d/m;@"/>
    <numFmt numFmtId="165" formatCode="#,##0.00\ [$€-407];\-#,##0.00\ [$€-407]"/>
    <numFmt numFmtId="166" formatCode="#,##0.00\ &quot;€&quot;"/>
    <numFmt numFmtId="167" formatCode="0.0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Arial"/>
      <family val="2"/>
    </font>
    <font>
      <b/>
      <sz val="12"/>
      <name val="Arial"/>
      <family val="2"/>
    </font>
    <font>
      <sz val="11"/>
      <name val="Verdana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3333CC"/>
      <name val="Calibri"/>
      <family val="2"/>
      <scheme val="minor"/>
    </font>
    <font>
      <sz val="14"/>
      <color rgb="FF3333CC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2"/>
      <color rgb="FF3333CC"/>
      <name val="Calibri"/>
      <family val="2"/>
      <scheme val="minor"/>
    </font>
    <font>
      <sz val="12"/>
      <color rgb="FF3333CC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Calibri"/>
      <family val="2"/>
      <scheme val="minor"/>
    </font>
    <font>
      <b/>
      <sz val="16"/>
      <name val="Calibri"/>
      <family val="2"/>
      <scheme val="minor"/>
    </font>
    <font>
      <i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sz val="12"/>
      <color theme="3" tint="0.249977111117893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A61C5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97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9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</cellStyleXfs>
  <cellXfs count="548">
    <xf numFmtId="0" fontId="0" fillId="0" borderId="0" xfId="0"/>
    <xf numFmtId="0" fontId="5" fillId="0" borderId="0" xfId="0" applyFont="1"/>
    <xf numFmtId="0" fontId="4" fillId="0" borderId="0" xfId="0" applyFont="1"/>
    <xf numFmtId="0" fontId="10" fillId="0" borderId="0" xfId="0" applyFont="1"/>
    <xf numFmtId="0" fontId="6" fillId="0" borderId="0" xfId="0" applyFont="1"/>
    <xf numFmtId="164" fontId="4" fillId="0" borderId="0" xfId="0" applyNumberFormat="1" applyFont="1"/>
    <xf numFmtId="164" fontId="4" fillId="2" borderId="0" xfId="0" applyNumberFormat="1" applyFont="1" applyFill="1"/>
    <xf numFmtId="164" fontId="6" fillId="0" borderId="0" xfId="0" applyNumberFormat="1" applyFont="1"/>
    <xf numFmtId="0" fontId="9" fillId="0" borderId="0" xfId="0" applyFont="1" applyAlignment="1">
      <alignment horizontal="center"/>
    </xf>
    <xf numFmtId="164" fontId="10" fillId="0" borderId="0" xfId="0" applyNumberFormat="1" applyFont="1"/>
    <xf numFmtId="0" fontId="11" fillId="0" borderId="0" xfId="0" applyFont="1"/>
    <xf numFmtId="164" fontId="6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12" fillId="0" borderId="0" xfId="0" applyNumberFormat="1" applyFont="1"/>
    <xf numFmtId="164" fontId="14" fillId="0" borderId="0" xfId="0" applyNumberFormat="1" applyFont="1"/>
    <xf numFmtId="0" fontId="14" fillId="0" borderId="0" xfId="0" applyFont="1"/>
    <xf numFmtId="0" fontId="16" fillId="0" borderId="0" xfId="0" applyFont="1"/>
    <xf numFmtId="166" fontId="14" fillId="0" borderId="0" xfId="0" applyNumberFormat="1" applyFont="1"/>
    <xf numFmtId="166" fontId="16" fillId="0" borderId="0" xfId="0" applyNumberFormat="1" applyFont="1"/>
    <xf numFmtId="165" fontId="14" fillId="0" borderId="0" xfId="0" applyNumberFormat="1" applyFont="1"/>
    <xf numFmtId="0" fontId="15" fillId="0" borderId="0" xfId="0" applyFont="1" applyAlignment="1">
      <alignment horizontal="center"/>
    </xf>
    <xf numFmtId="16" fontId="14" fillId="0" borderId="0" xfId="0" applyNumberFormat="1" applyFont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13" fillId="3" borderId="0" xfId="0" applyFont="1" applyFill="1"/>
    <xf numFmtId="165" fontId="14" fillId="5" borderId="0" xfId="0" applyNumberFormat="1" applyFont="1" applyFill="1" applyAlignment="1">
      <alignment horizontal="right"/>
    </xf>
    <xf numFmtId="0" fontId="13" fillId="3" borderId="0" xfId="0" applyFont="1" applyFill="1" applyAlignment="1">
      <alignment horizontal="center"/>
    </xf>
    <xf numFmtId="166" fontId="12" fillId="3" borderId="1" xfId="0" applyNumberFormat="1" applyFont="1" applyFill="1" applyBorder="1"/>
    <xf numFmtId="164" fontId="13" fillId="4" borderId="1" xfId="0" applyNumberFormat="1" applyFont="1" applyFill="1" applyBorder="1"/>
    <xf numFmtId="0" fontId="0" fillId="0" borderId="0" xfId="0" applyAlignment="1">
      <alignment horizontal="center" vertical="center"/>
    </xf>
    <xf numFmtId="4" fontId="0" fillId="0" borderId="0" xfId="0" applyNumberFormat="1"/>
    <xf numFmtId="166" fontId="0" fillId="0" borderId="0" xfId="0" applyNumberFormat="1"/>
    <xf numFmtId="8" fontId="0" fillId="0" borderId="0" xfId="0" applyNumberFormat="1"/>
    <xf numFmtId="49" fontId="0" fillId="0" borderId="0" xfId="0" applyNumberFormat="1" applyAlignment="1">
      <alignment wrapText="1"/>
    </xf>
    <xf numFmtId="0" fontId="21" fillId="0" borderId="0" xfId="89" applyFont="1"/>
    <xf numFmtId="49" fontId="21" fillId="0" borderId="0" xfId="89" applyNumberFormat="1" applyFont="1"/>
    <xf numFmtId="0" fontId="3" fillId="0" borderId="0" xfId="89"/>
    <xf numFmtId="49" fontId="3" fillId="0" borderId="0" xfId="89" applyNumberFormat="1"/>
    <xf numFmtId="0" fontId="3" fillId="0" borderId="0" xfId="89" applyAlignment="1">
      <alignment horizontal="left" vertical="center"/>
    </xf>
    <xf numFmtId="0" fontId="3" fillId="0" borderId="0" xfId="89" applyAlignment="1">
      <alignment horizontal="left" vertical="center" wrapText="1"/>
    </xf>
    <xf numFmtId="0" fontId="20" fillId="0" borderId="13" xfId="89" applyFont="1" applyBorder="1" applyAlignment="1">
      <alignment horizontal="center" vertical="center" wrapText="1"/>
    </xf>
    <xf numFmtId="0" fontId="20" fillId="0" borderId="16" xfId="89" applyFont="1" applyBorder="1" applyAlignment="1">
      <alignment horizontal="center" vertical="center" wrapText="1"/>
    </xf>
    <xf numFmtId="0" fontId="20" fillId="0" borderId="17" xfId="89" applyFont="1" applyBorder="1" applyAlignment="1">
      <alignment horizontal="center" vertical="center" wrapText="1"/>
    </xf>
    <xf numFmtId="0" fontId="20" fillId="0" borderId="18" xfId="89" applyFont="1" applyBorder="1" applyAlignment="1">
      <alignment horizontal="center" vertical="center" wrapText="1"/>
    </xf>
    <xf numFmtId="0" fontId="20" fillId="0" borderId="3" xfId="89" applyFont="1" applyBorder="1" applyAlignment="1">
      <alignment horizontal="center" vertical="center" wrapText="1"/>
    </xf>
    <xf numFmtId="0" fontId="20" fillId="0" borderId="14" xfId="89" applyFont="1" applyBorder="1" applyAlignment="1">
      <alignment horizontal="center" vertical="center" wrapText="1"/>
    </xf>
    <xf numFmtId="0" fontId="3" fillId="0" borderId="0" xfId="89" applyAlignment="1">
      <alignment horizontal="left" vertical="top" wrapText="1"/>
    </xf>
    <xf numFmtId="0" fontId="3" fillId="0" borderId="0" xfId="89" applyFont="1"/>
    <xf numFmtId="49" fontId="3" fillId="0" borderId="0" xfId="89" applyNumberFormat="1" applyFont="1"/>
    <xf numFmtId="0" fontId="3" fillId="0" borderId="0" xfId="89" applyFont="1" applyAlignment="1">
      <alignment horizontal="left" vertical="center"/>
    </xf>
    <xf numFmtId="0" fontId="20" fillId="0" borderId="0" xfId="89" applyFont="1"/>
    <xf numFmtId="49" fontId="20" fillId="0" borderId="0" xfId="89" applyNumberFormat="1" applyFont="1"/>
    <xf numFmtId="0" fontId="20" fillId="0" borderId="0" xfId="89" applyFont="1" applyFill="1"/>
    <xf numFmtId="0" fontId="28" fillId="0" borderId="0" xfId="89" applyFont="1" applyAlignment="1">
      <alignment horizontal="center" vertical="center"/>
    </xf>
    <xf numFmtId="0" fontId="27" fillId="0" borderId="0" xfId="89" applyFont="1" applyAlignment="1">
      <alignment horizontal="center" vertical="center"/>
    </xf>
    <xf numFmtId="0" fontId="28" fillId="0" borderId="20" xfId="89" applyFont="1" applyBorder="1" applyAlignment="1">
      <alignment horizontal="center" vertical="center" wrapText="1"/>
    </xf>
    <xf numFmtId="166" fontId="28" fillId="0" borderId="20" xfId="89" applyNumberFormat="1" applyFont="1" applyBorder="1" applyAlignment="1">
      <alignment horizontal="center" vertical="center" wrapText="1"/>
    </xf>
    <xf numFmtId="166" fontId="27" fillId="0" borderId="20" xfId="89" applyNumberFormat="1" applyFont="1" applyBorder="1" applyAlignment="1">
      <alignment horizontal="center" vertical="center" wrapText="1"/>
    </xf>
    <xf numFmtId="0" fontId="27" fillId="0" borderId="0" xfId="89" applyFont="1" applyAlignment="1">
      <alignment horizontal="left" vertical="center"/>
    </xf>
    <xf numFmtId="49" fontId="3" fillId="0" borderId="5" xfId="89" applyNumberFormat="1" applyFill="1" applyBorder="1" applyAlignment="1">
      <alignment horizontal="left" vertical="center" wrapText="1"/>
    </xf>
    <xf numFmtId="14" fontId="3" fillId="0" borderId="27" xfId="89" applyNumberFormat="1" applyFill="1" applyBorder="1" applyAlignment="1">
      <alignment horizontal="center" vertical="center" wrapText="1"/>
    </xf>
    <xf numFmtId="0" fontId="3" fillId="0" borderId="22" xfId="89" applyFont="1" applyFill="1" applyBorder="1" applyAlignment="1">
      <alignment horizontal="center" vertical="center" wrapText="1"/>
    </xf>
    <xf numFmtId="0" fontId="3" fillId="0" borderId="20" xfId="89" applyFill="1" applyBorder="1" applyAlignment="1">
      <alignment horizontal="center" vertical="center" wrapText="1"/>
    </xf>
    <xf numFmtId="0" fontId="19" fillId="0" borderId="23" xfId="89" applyFont="1" applyFill="1" applyBorder="1" applyAlignment="1">
      <alignment horizontal="left" vertical="center" wrapText="1"/>
    </xf>
    <xf numFmtId="0" fontId="3" fillId="0" borderId="29" xfId="89" applyFill="1" applyBorder="1" applyAlignment="1">
      <alignment horizontal="left" vertical="center" wrapText="1"/>
    </xf>
    <xf numFmtId="0" fontId="3" fillId="0" borderId="28" xfId="89" applyFill="1" applyBorder="1" applyAlignment="1">
      <alignment horizontal="left" vertical="center" wrapText="1"/>
    </xf>
    <xf numFmtId="0" fontId="3" fillId="0" borderId="5" xfId="89" applyFill="1" applyBorder="1" applyAlignment="1">
      <alignment horizontal="center" vertical="center" wrapText="1"/>
    </xf>
    <xf numFmtId="166" fontId="3" fillId="0" borderId="5" xfId="89" applyNumberFormat="1" applyFill="1" applyBorder="1" applyAlignment="1">
      <alignment horizontal="right" vertical="center" wrapText="1"/>
    </xf>
    <xf numFmtId="0" fontId="19" fillId="0" borderId="30" xfId="89" applyFont="1" applyFill="1" applyBorder="1" applyAlignment="1">
      <alignment vertical="center" wrapText="1"/>
    </xf>
    <xf numFmtId="0" fontId="3" fillId="0" borderId="30" xfId="89" applyFill="1" applyBorder="1" applyAlignment="1">
      <alignment horizontal="left" vertical="center" wrapText="1"/>
    </xf>
    <xf numFmtId="49" fontId="25" fillId="11" borderId="20" xfId="89" applyNumberFormat="1" applyFont="1" applyFill="1" applyBorder="1" applyAlignment="1">
      <alignment horizontal="left" vertical="center" wrapText="1"/>
    </xf>
    <xf numFmtId="0" fontId="29" fillId="0" borderId="6" xfId="89" applyFont="1" applyBorder="1" applyAlignment="1">
      <alignment horizontal="left" vertical="center" wrapText="1"/>
    </xf>
    <xf numFmtId="0" fontId="25" fillId="11" borderId="30" xfId="89" applyFont="1" applyFill="1" applyBorder="1" applyAlignment="1">
      <alignment horizontal="left" vertical="center" wrapText="1"/>
    </xf>
    <xf numFmtId="49" fontId="25" fillId="0" borderId="4" xfId="89" applyNumberFormat="1" applyFont="1" applyFill="1" applyBorder="1" applyAlignment="1">
      <alignment horizontal="left" vertical="center" wrapText="1"/>
    </xf>
    <xf numFmtId="0" fontId="25" fillId="0" borderId="33" xfId="89" applyFont="1" applyFill="1" applyBorder="1" applyAlignment="1">
      <alignment horizontal="center" vertical="center" wrapText="1"/>
    </xf>
    <xf numFmtId="0" fontId="25" fillId="0" borderId="2" xfId="89" applyFont="1" applyFill="1" applyBorder="1" applyAlignment="1">
      <alignment horizontal="center" vertical="center" wrapText="1"/>
    </xf>
    <xf numFmtId="0" fontId="25" fillId="0" borderId="32" xfId="89" applyFont="1" applyFill="1" applyBorder="1" applyAlignment="1">
      <alignment horizontal="left" vertical="center" wrapText="1"/>
    </xf>
    <xf numFmtId="0" fontId="25" fillId="0" borderId="35" xfId="89" applyFont="1" applyFill="1" applyBorder="1" applyAlignment="1">
      <alignment horizontal="left" vertical="center" wrapText="1"/>
    </xf>
    <xf numFmtId="0" fontId="3" fillId="0" borderId="0" xfId="89" applyFill="1" applyAlignment="1">
      <alignment horizontal="left" vertical="center" wrapText="1"/>
    </xf>
    <xf numFmtId="0" fontId="25" fillId="11" borderId="23" xfId="89" applyFont="1" applyFill="1" applyBorder="1" applyAlignment="1">
      <alignment horizontal="left" vertical="center" wrapText="1"/>
    </xf>
    <xf numFmtId="0" fontId="31" fillId="0" borderId="0" xfId="89" applyFont="1" applyAlignment="1">
      <alignment horizontal="center" vertical="center"/>
    </xf>
    <xf numFmtId="0" fontId="32" fillId="0" borderId="0" xfId="89" applyFont="1" applyAlignment="1">
      <alignment horizontal="center" vertical="center"/>
    </xf>
    <xf numFmtId="0" fontId="2" fillId="0" borderId="28" xfId="89" applyFont="1" applyFill="1" applyBorder="1" applyAlignment="1">
      <alignment horizontal="left" vertical="center" wrapText="1"/>
    </xf>
    <xf numFmtId="0" fontId="28" fillId="0" borderId="21" xfId="89" applyFont="1" applyBorder="1" applyAlignment="1">
      <alignment horizontal="center" vertical="center" wrapText="1"/>
    </xf>
    <xf numFmtId="166" fontId="28" fillId="0" borderId="21" xfId="89" applyNumberFormat="1" applyFont="1" applyBorder="1" applyAlignment="1">
      <alignment horizontal="center" vertical="center" wrapText="1"/>
    </xf>
    <xf numFmtId="0" fontId="27" fillId="0" borderId="22" xfId="89" applyFont="1" applyBorder="1" applyAlignment="1">
      <alignment horizontal="center" vertical="center" wrapText="1"/>
    </xf>
    <xf numFmtId="166" fontId="27" fillId="0" borderId="22" xfId="89" applyNumberFormat="1" applyFont="1" applyBorder="1" applyAlignment="1">
      <alignment horizontal="center" vertical="center" wrapText="1"/>
    </xf>
    <xf numFmtId="1" fontId="27" fillId="0" borderId="37" xfId="89" applyNumberFormat="1" applyFont="1" applyBorder="1" applyAlignment="1">
      <alignment horizontal="center" vertical="center" wrapText="1"/>
    </xf>
    <xf numFmtId="166" fontId="28" fillId="0" borderId="38" xfId="89" applyNumberFormat="1" applyFont="1" applyBorder="1" applyAlignment="1">
      <alignment horizontal="center" vertical="center" wrapText="1"/>
    </xf>
    <xf numFmtId="166" fontId="28" fillId="0" borderId="41" xfId="89" applyNumberFormat="1" applyFont="1" applyBorder="1" applyAlignment="1">
      <alignment horizontal="center" vertical="center" wrapText="1"/>
    </xf>
    <xf numFmtId="166" fontId="27" fillId="0" borderId="37" xfId="89" applyNumberFormat="1" applyFont="1" applyBorder="1" applyAlignment="1">
      <alignment horizontal="center" vertical="center" wrapText="1"/>
    </xf>
    <xf numFmtId="0" fontId="33" fillId="10" borderId="37" xfId="89" applyFont="1" applyFill="1" applyBorder="1" applyAlignment="1">
      <alignment horizontal="center" vertical="center" wrapText="1"/>
    </xf>
    <xf numFmtId="0" fontId="33" fillId="10" borderId="38" xfId="89" applyFont="1" applyFill="1" applyBorder="1" applyAlignment="1">
      <alignment horizontal="center" vertical="center" wrapText="1"/>
    </xf>
    <xf numFmtId="0" fontId="33" fillId="10" borderId="41" xfId="89" applyFont="1" applyFill="1" applyBorder="1" applyAlignment="1">
      <alignment horizontal="center" vertical="center" wrapText="1"/>
    </xf>
    <xf numFmtId="0" fontId="33" fillId="10" borderId="39" xfId="89" applyFont="1" applyFill="1" applyBorder="1" applyAlignment="1">
      <alignment horizontal="center" vertical="center" wrapText="1"/>
    </xf>
    <xf numFmtId="0" fontId="33" fillId="10" borderId="42" xfId="89" applyFont="1" applyFill="1" applyBorder="1" applyAlignment="1">
      <alignment horizontal="center" vertical="center" wrapText="1"/>
    </xf>
    <xf numFmtId="1" fontId="27" fillId="12" borderId="42" xfId="89" applyNumberFormat="1" applyFont="1" applyFill="1" applyBorder="1" applyAlignment="1">
      <alignment horizontal="center" vertical="center" wrapText="1"/>
    </xf>
    <xf numFmtId="0" fontId="35" fillId="0" borderId="0" xfId="89" applyFont="1" applyAlignment="1">
      <alignment horizontal="center" vertical="center"/>
    </xf>
    <xf numFmtId="166" fontId="28" fillId="0" borderId="38" xfId="89" applyNumberFormat="1" applyFont="1" applyFill="1" applyBorder="1" applyAlignment="1">
      <alignment horizontal="center" vertical="center" wrapText="1"/>
    </xf>
    <xf numFmtId="166" fontId="27" fillId="0" borderId="38" xfId="89" applyNumberFormat="1" applyFont="1" applyBorder="1" applyAlignment="1">
      <alignment horizontal="center" vertical="center" wrapText="1"/>
    </xf>
    <xf numFmtId="0" fontId="25" fillId="11" borderId="36" xfId="89" applyFont="1" applyFill="1" applyBorder="1" applyAlignment="1">
      <alignment horizontal="left" vertical="center" wrapText="1"/>
    </xf>
    <xf numFmtId="0" fontId="25" fillId="11" borderId="28" xfId="89" applyFont="1" applyFill="1" applyBorder="1" applyAlignment="1">
      <alignment horizontal="left" vertical="center" wrapText="1"/>
    </xf>
    <xf numFmtId="0" fontId="25" fillId="11" borderId="5" xfId="89" applyFont="1" applyFill="1" applyBorder="1" applyAlignment="1">
      <alignment horizontal="center" vertical="center" wrapText="1"/>
    </xf>
    <xf numFmtId="166" fontId="25" fillId="11" borderId="5" xfId="89" applyNumberFormat="1" applyFont="1" applyFill="1" applyBorder="1" applyAlignment="1">
      <alignment horizontal="right" vertical="center" wrapText="1"/>
    </xf>
    <xf numFmtId="0" fontId="25" fillId="11" borderId="31" xfId="89" applyFont="1" applyFill="1" applyBorder="1" applyAlignment="1">
      <alignment vertical="center" wrapText="1"/>
    </xf>
    <xf numFmtId="0" fontId="25" fillId="11" borderId="33" xfId="89" applyFont="1" applyFill="1" applyBorder="1" applyAlignment="1">
      <alignment horizontal="center" vertical="center" wrapText="1"/>
    </xf>
    <xf numFmtId="0" fontId="25" fillId="11" borderId="4" xfId="89" applyFont="1" applyFill="1" applyBorder="1" applyAlignment="1">
      <alignment horizontal="center" vertical="center" wrapText="1"/>
    </xf>
    <xf numFmtId="0" fontId="25" fillId="11" borderId="35" xfId="89" applyFont="1" applyFill="1" applyBorder="1" applyAlignment="1">
      <alignment vertical="center" wrapText="1"/>
    </xf>
    <xf numFmtId="0" fontId="25" fillId="11" borderId="22" xfId="89" applyFont="1" applyFill="1" applyBorder="1" applyAlignment="1">
      <alignment horizontal="center" vertical="center" wrapText="1"/>
    </xf>
    <xf numFmtId="0" fontId="25" fillId="11" borderId="20" xfId="89" applyFont="1" applyFill="1" applyBorder="1" applyAlignment="1">
      <alignment horizontal="center" vertical="center" wrapText="1"/>
    </xf>
    <xf numFmtId="0" fontId="25" fillId="11" borderId="29" xfId="89" applyFont="1" applyFill="1" applyBorder="1" applyAlignment="1">
      <alignment horizontal="left" vertical="center" wrapText="1"/>
    </xf>
    <xf numFmtId="0" fontId="25" fillId="11" borderId="30" xfId="89" applyFont="1" applyFill="1" applyBorder="1" applyAlignment="1">
      <alignment vertical="center" wrapText="1"/>
    </xf>
    <xf numFmtId="0" fontId="25" fillId="2" borderId="33" xfId="89" applyFont="1" applyFill="1" applyBorder="1" applyAlignment="1">
      <alignment horizontal="center" vertical="center" wrapText="1"/>
    </xf>
    <xf numFmtId="0" fontId="25" fillId="2" borderId="2" xfId="89" applyFont="1" applyFill="1" applyBorder="1" applyAlignment="1">
      <alignment horizontal="left" vertical="center" wrapText="1"/>
    </xf>
    <xf numFmtId="49" fontId="19" fillId="0" borderId="0" xfId="89" applyNumberFormat="1" applyFont="1" applyAlignment="1">
      <alignment horizontal="left" vertical="center"/>
    </xf>
    <xf numFmtId="0" fontId="0" fillId="0" borderId="0" xfId="0" applyFont="1"/>
    <xf numFmtId="166" fontId="29" fillId="0" borderId="31" xfId="89" applyNumberFormat="1" applyFont="1" applyFill="1" applyBorder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9" fontId="26" fillId="0" borderId="0" xfId="0" applyNumberFormat="1" applyFont="1" applyAlignment="1">
      <alignment wrapText="1"/>
    </xf>
    <xf numFmtId="0" fontId="26" fillId="0" borderId="0" xfId="0" applyFont="1"/>
    <xf numFmtId="0" fontId="27" fillId="0" borderId="23" xfId="89" applyFont="1" applyFill="1" applyBorder="1" applyAlignment="1">
      <alignment horizontal="center" vertical="center" wrapText="1"/>
    </xf>
    <xf numFmtId="166" fontId="27" fillId="0" borderId="23" xfId="89" applyNumberFormat="1" applyFont="1" applyFill="1" applyBorder="1" applyAlignment="1">
      <alignment horizontal="center" vertical="center" wrapText="1"/>
    </xf>
    <xf numFmtId="166" fontId="27" fillId="0" borderId="39" xfId="89" applyNumberFormat="1" applyFont="1" applyFill="1" applyBorder="1" applyAlignment="1">
      <alignment horizontal="center" vertical="center" wrapText="1"/>
    </xf>
    <xf numFmtId="0" fontId="29" fillId="0" borderId="13" xfId="89" applyFont="1" applyBorder="1" applyAlignment="1">
      <alignment horizontal="center" vertical="center" wrapText="1"/>
    </xf>
    <xf numFmtId="49" fontId="29" fillId="0" borderId="14" xfId="89" applyNumberFormat="1" applyFont="1" applyBorder="1" applyAlignment="1">
      <alignment horizontal="center" vertical="center" wrapText="1"/>
    </xf>
    <xf numFmtId="0" fontId="29" fillId="0" borderId="15" xfId="89" applyFont="1" applyBorder="1" applyAlignment="1">
      <alignment horizontal="center" vertical="center" wrapText="1"/>
    </xf>
    <xf numFmtId="0" fontId="36" fillId="0" borderId="0" xfId="89" applyFont="1"/>
    <xf numFmtId="0" fontId="40" fillId="0" borderId="0" xfId="89" applyFont="1"/>
    <xf numFmtId="0" fontId="36" fillId="12" borderId="11" xfId="89" applyFont="1" applyFill="1" applyBorder="1" applyAlignment="1">
      <alignment horizontal="left" vertical="center"/>
    </xf>
    <xf numFmtId="0" fontId="40" fillId="12" borderId="12" xfId="89" applyFont="1" applyFill="1" applyBorder="1" applyAlignment="1">
      <alignment horizontal="center" vertical="center"/>
    </xf>
    <xf numFmtId="0" fontId="40" fillId="0" borderId="0" xfId="89" applyFont="1" applyAlignment="1">
      <alignment horizontal="center" vertical="center"/>
    </xf>
    <xf numFmtId="0" fontId="41" fillId="8" borderId="20" xfId="89" applyFont="1" applyFill="1" applyBorder="1" applyAlignment="1">
      <alignment vertical="center" wrapText="1"/>
    </xf>
    <xf numFmtId="0" fontId="29" fillId="0" borderId="0" xfId="89" applyFont="1"/>
    <xf numFmtId="0" fontId="41" fillId="9" borderId="20" xfId="89" applyFont="1" applyFill="1" applyBorder="1" applyAlignment="1">
      <alignment vertical="center" wrapText="1"/>
    </xf>
    <xf numFmtId="0" fontId="29" fillId="0" borderId="17" xfId="89" applyFont="1" applyBorder="1" applyAlignment="1">
      <alignment horizontal="center" vertical="center" wrapText="1"/>
    </xf>
    <xf numFmtId="0" fontId="25" fillId="0" borderId="0" xfId="89" applyFont="1"/>
    <xf numFmtId="0" fontId="29" fillId="0" borderId="14" xfId="89" applyFont="1" applyBorder="1" applyAlignment="1">
      <alignment horizontal="center" vertical="center" wrapText="1"/>
    </xf>
    <xf numFmtId="0" fontId="29" fillId="0" borderId="6" xfId="89" applyFont="1" applyFill="1" applyBorder="1" applyAlignment="1">
      <alignment horizontal="center" vertical="center" wrapText="1"/>
    </xf>
    <xf numFmtId="166" fontId="29" fillId="0" borderId="30" xfId="89" applyNumberFormat="1" applyFont="1" applyFill="1" applyBorder="1" applyAlignment="1">
      <alignment horizontal="right" vertical="center" wrapText="1"/>
    </xf>
    <xf numFmtId="0" fontId="29" fillId="0" borderId="0" xfId="89" applyFont="1" applyFill="1" applyAlignment="1">
      <alignment horizontal="right" vertical="center"/>
    </xf>
    <xf numFmtId="0" fontId="40" fillId="0" borderId="0" xfId="89" applyFont="1" applyFill="1" applyAlignment="1">
      <alignment horizontal="right" vertical="center"/>
    </xf>
    <xf numFmtId="49" fontId="29" fillId="0" borderId="0" xfId="89" applyNumberFormat="1" applyFont="1" applyFill="1" applyAlignment="1">
      <alignment horizontal="right" vertical="center"/>
    </xf>
    <xf numFmtId="166" fontId="29" fillId="0" borderId="25" xfId="89" applyNumberFormat="1" applyFont="1" applyFill="1" applyBorder="1" applyAlignment="1">
      <alignment horizontal="right" vertical="center" wrapText="1"/>
    </xf>
    <xf numFmtId="166" fontId="29" fillId="0" borderId="34" xfId="89" applyNumberFormat="1" applyFont="1" applyFill="1" applyBorder="1" applyAlignment="1">
      <alignment horizontal="right" vertical="center" wrapText="1"/>
    </xf>
    <xf numFmtId="166" fontId="29" fillId="0" borderId="26" xfId="89" applyNumberFormat="1" applyFont="1" applyFill="1" applyBorder="1" applyAlignment="1">
      <alignment horizontal="right" vertical="center" wrapText="1"/>
    </xf>
    <xf numFmtId="0" fontId="25" fillId="7" borderId="19" xfId="89" applyFont="1" applyFill="1" applyBorder="1" applyAlignment="1">
      <alignment horizontal="left" vertical="center" wrapText="1"/>
    </xf>
    <xf numFmtId="49" fontId="25" fillId="7" borderId="20" xfId="89" applyNumberFormat="1" applyFont="1" applyFill="1" applyBorder="1" applyAlignment="1">
      <alignment horizontal="left" vertical="center" wrapText="1"/>
    </xf>
    <xf numFmtId="14" fontId="25" fillId="7" borderId="21" xfId="89" applyNumberFormat="1" applyFont="1" applyFill="1" applyBorder="1" applyAlignment="1">
      <alignment horizontal="center" vertical="center" wrapText="1"/>
    </xf>
    <xf numFmtId="0" fontId="25" fillId="7" borderId="22" xfId="89" applyFont="1" applyFill="1" applyBorder="1" applyAlignment="1">
      <alignment horizontal="center" vertical="center" wrapText="1"/>
    </xf>
    <xf numFmtId="0" fontId="25" fillId="7" borderId="20" xfId="89" applyFont="1" applyFill="1" applyBorder="1" applyAlignment="1">
      <alignment horizontal="center" vertical="center" wrapText="1"/>
    </xf>
    <xf numFmtId="167" fontId="29" fillId="7" borderId="20" xfId="89" applyNumberFormat="1" applyFont="1" applyFill="1" applyBorder="1" applyAlignment="1">
      <alignment horizontal="center" vertical="center" wrapText="1"/>
    </xf>
    <xf numFmtId="0" fontId="25" fillId="7" borderId="23" xfId="89" applyFont="1" applyFill="1" applyBorder="1" applyAlignment="1">
      <alignment horizontal="left" vertical="center" wrapText="1"/>
    </xf>
    <xf numFmtId="0" fontId="25" fillId="7" borderId="24" xfId="89" applyFont="1" applyFill="1" applyBorder="1" applyAlignment="1">
      <alignment horizontal="left" vertical="center" wrapText="1"/>
    </xf>
    <xf numFmtId="0" fontId="36" fillId="7" borderId="22" xfId="0" applyFont="1" applyFill="1" applyBorder="1" applyAlignment="1">
      <alignment horizontal="left" vertical="center" wrapText="1"/>
    </xf>
    <xf numFmtId="0" fontId="25" fillId="7" borderId="20" xfId="0" applyFont="1" applyFill="1" applyBorder="1" applyAlignment="1">
      <alignment horizontal="center" vertical="center" wrapText="1"/>
    </xf>
    <xf numFmtId="166" fontId="25" fillId="7" borderId="20" xfId="89" applyNumberFormat="1" applyFont="1" applyFill="1" applyBorder="1" applyAlignment="1">
      <alignment horizontal="right" vertical="center" wrapText="1"/>
    </xf>
    <xf numFmtId="0" fontId="36" fillId="7" borderId="20" xfId="0" applyFont="1" applyFill="1" applyBorder="1" applyAlignment="1">
      <alignment horizontal="center" vertical="center" wrapText="1"/>
    </xf>
    <xf numFmtId="0" fontId="36" fillId="7" borderId="19" xfId="0" applyFont="1" applyFill="1" applyBorder="1" applyAlignment="1">
      <alignment horizontal="left" vertical="center" wrapText="1"/>
    </xf>
    <xf numFmtId="49" fontId="36" fillId="7" borderId="20" xfId="0" applyNumberFormat="1" applyFont="1" applyFill="1" applyBorder="1" applyAlignment="1">
      <alignment horizontal="left" vertical="center" wrapText="1"/>
    </xf>
    <xf numFmtId="14" fontId="36" fillId="7" borderId="21" xfId="0" applyNumberFormat="1" applyFont="1" applyFill="1" applyBorder="1" applyAlignment="1">
      <alignment horizontal="center" vertical="center" wrapText="1"/>
    </xf>
    <xf numFmtId="0" fontId="36" fillId="7" borderId="24" xfId="0" applyFont="1" applyFill="1" applyBorder="1" applyAlignment="1">
      <alignment horizontal="left" vertical="center" wrapText="1"/>
    </xf>
    <xf numFmtId="0" fontId="25" fillId="7" borderId="22" xfId="89" applyFont="1" applyFill="1" applyBorder="1" applyAlignment="1">
      <alignment horizontal="left" vertical="center" wrapText="1"/>
    </xf>
    <xf numFmtId="0" fontId="25" fillId="7" borderId="23" xfId="89" applyFont="1" applyFill="1" applyBorder="1" applyAlignment="1">
      <alignment horizontal="center" vertical="center" wrapText="1"/>
    </xf>
    <xf numFmtId="0" fontId="25" fillId="7" borderId="25" xfId="89" applyFont="1" applyFill="1" applyBorder="1" applyAlignment="1">
      <alignment horizontal="left" vertical="center" wrapText="1"/>
    </xf>
    <xf numFmtId="0" fontId="25" fillId="7" borderId="26" xfId="89" applyFont="1" applyFill="1" applyBorder="1" applyAlignment="1">
      <alignment vertical="center" wrapText="1"/>
    </xf>
    <xf numFmtId="0" fontId="25" fillId="7" borderId="25" xfId="89" applyFont="1" applyFill="1" applyBorder="1" applyAlignment="1">
      <alignment vertical="center" wrapText="1"/>
    </xf>
    <xf numFmtId="166" fontId="25" fillId="7" borderId="20" xfId="89" applyNumberFormat="1" applyFont="1" applyFill="1" applyBorder="1" applyAlignment="1">
      <alignment horizontal="center" vertical="center" wrapText="1"/>
    </xf>
    <xf numFmtId="1" fontId="25" fillId="11" borderId="27" xfId="89" applyNumberFormat="1" applyFont="1" applyFill="1" applyBorder="1" applyAlignment="1">
      <alignment horizontal="center" vertical="center" wrapText="1"/>
    </xf>
    <xf numFmtId="167" fontId="29" fillId="11" borderId="20" xfId="89" applyNumberFormat="1" applyFont="1" applyFill="1" applyBorder="1" applyAlignment="1">
      <alignment horizontal="center" vertical="center" wrapText="1"/>
    </xf>
    <xf numFmtId="0" fontId="25" fillId="11" borderId="26" xfId="89" applyFont="1" applyFill="1" applyBorder="1" applyAlignment="1">
      <alignment horizontal="left" vertical="center" wrapText="1"/>
    </xf>
    <xf numFmtId="1" fontId="25" fillId="11" borderId="23" xfId="89" applyNumberFormat="1" applyFont="1" applyFill="1" applyBorder="1" applyAlignment="1">
      <alignment horizontal="center" vertical="center" wrapText="1"/>
    </xf>
    <xf numFmtId="0" fontId="25" fillId="11" borderId="22" xfId="89" applyFont="1" applyFill="1" applyBorder="1" applyAlignment="1">
      <alignment horizontal="left" vertical="center" wrapText="1"/>
    </xf>
    <xf numFmtId="166" fontId="25" fillId="11" borderId="20" xfId="89" applyNumberFormat="1" applyFont="1" applyFill="1" applyBorder="1" applyAlignment="1">
      <alignment horizontal="right" vertical="center" wrapText="1"/>
    </xf>
    <xf numFmtId="0" fontId="25" fillId="0" borderId="2" xfId="89" applyFont="1" applyFill="1" applyBorder="1" applyAlignment="1">
      <alignment horizontal="left" vertical="center" wrapText="1"/>
    </xf>
    <xf numFmtId="1" fontId="25" fillId="0" borderId="32" xfId="89" applyNumberFormat="1" applyFont="1" applyFill="1" applyBorder="1" applyAlignment="1">
      <alignment horizontal="center" vertical="center" wrapText="1"/>
    </xf>
    <xf numFmtId="0" fontId="25" fillId="0" borderId="36" xfId="89" applyFont="1" applyFill="1" applyBorder="1" applyAlignment="1">
      <alignment horizontal="left" vertical="center" wrapText="1"/>
    </xf>
    <xf numFmtId="0" fontId="25" fillId="0" borderId="7" xfId="89" applyFont="1" applyFill="1" applyBorder="1" applyAlignment="1">
      <alignment horizontal="left" vertical="center" wrapText="1"/>
    </xf>
    <xf numFmtId="0" fontId="25" fillId="0" borderId="4" xfId="89" applyFont="1" applyFill="1" applyBorder="1" applyAlignment="1">
      <alignment horizontal="center" vertical="center" wrapText="1"/>
    </xf>
    <xf numFmtId="166" fontId="25" fillId="0" borderId="4" xfId="89" applyNumberFormat="1" applyFont="1" applyFill="1" applyBorder="1" applyAlignment="1">
      <alignment horizontal="right" vertical="center" wrapText="1"/>
    </xf>
    <xf numFmtId="0" fontId="25" fillId="0" borderId="34" xfId="89" applyFont="1" applyFill="1" applyBorder="1" applyAlignment="1">
      <alignment horizontal="left" vertical="center" wrapText="1"/>
    </xf>
    <xf numFmtId="0" fontId="25" fillId="11" borderId="2" xfId="89" applyFont="1" applyFill="1" applyBorder="1" applyAlignment="1">
      <alignment horizontal="left" vertical="center" wrapText="1"/>
    </xf>
    <xf numFmtId="0" fontId="25" fillId="11" borderId="2" xfId="89" applyFont="1" applyFill="1" applyBorder="1" applyAlignment="1">
      <alignment horizontal="center" vertical="center" wrapText="1"/>
    </xf>
    <xf numFmtId="166" fontId="25" fillId="11" borderId="4" xfId="89" applyNumberFormat="1" applyFont="1" applyFill="1" applyBorder="1" applyAlignment="1">
      <alignment horizontal="right" vertical="center" wrapText="1"/>
    </xf>
    <xf numFmtId="49" fontId="25" fillId="2" borderId="4" xfId="89" applyNumberFormat="1" applyFont="1" applyFill="1" applyBorder="1" applyAlignment="1">
      <alignment horizontal="left" vertical="center" wrapText="1"/>
    </xf>
    <xf numFmtId="1" fontId="25" fillId="2" borderId="32" xfId="89" applyNumberFormat="1" applyFont="1" applyFill="1" applyBorder="1" applyAlignment="1">
      <alignment horizontal="center" vertical="center" wrapText="1"/>
    </xf>
    <xf numFmtId="0" fontId="25" fillId="2" borderId="2" xfId="89" applyFont="1" applyFill="1" applyBorder="1" applyAlignment="1">
      <alignment horizontal="center" vertical="center" wrapText="1"/>
    </xf>
    <xf numFmtId="167" fontId="29" fillId="2" borderId="20" xfId="89" applyNumberFormat="1" applyFont="1" applyFill="1" applyBorder="1" applyAlignment="1">
      <alignment horizontal="center" vertical="center" wrapText="1"/>
    </xf>
    <xf numFmtId="0" fontId="25" fillId="2" borderId="32" xfId="89" applyFont="1" applyFill="1" applyBorder="1" applyAlignment="1">
      <alignment horizontal="left" vertical="center" wrapText="1"/>
    </xf>
    <xf numFmtId="0" fontId="25" fillId="2" borderId="26" xfId="89" applyFont="1" applyFill="1" applyBorder="1" applyAlignment="1">
      <alignment horizontal="left" vertical="center" wrapText="1"/>
    </xf>
    <xf numFmtId="0" fontId="25" fillId="2" borderId="4" xfId="89" applyFont="1" applyFill="1" applyBorder="1" applyAlignment="1">
      <alignment horizontal="center" vertical="center" wrapText="1"/>
    </xf>
    <xf numFmtId="166" fontId="25" fillId="2" borderId="4" xfId="89" applyNumberFormat="1" applyFont="1" applyFill="1" applyBorder="1" applyAlignment="1">
      <alignment horizontal="right" vertical="center" wrapText="1"/>
    </xf>
    <xf numFmtId="0" fontId="25" fillId="2" borderId="34" xfId="89" applyFont="1" applyFill="1" applyBorder="1" applyAlignment="1">
      <alignment horizontal="left" vertical="center" wrapText="1"/>
    </xf>
    <xf numFmtId="0" fontId="25" fillId="2" borderId="20" xfId="89" applyFont="1" applyFill="1" applyBorder="1" applyAlignment="1">
      <alignment horizontal="center" vertical="center" wrapText="1"/>
    </xf>
    <xf numFmtId="49" fontId="25" fillId="0" borderId="0" xfId="89" applyNumberFormat="1" applyFont="1"/>
    <xf numFmtId="0" fontId="25" fillId="0" borderId="0" xfId="89" applyFont="1" applyAlignment="1">
      <alignment horizontal="left" vertical="center"/>
    </xf>
    <xf numFmtId="166" fontId="29" fillId="0" borderId="45" xfId="89" applyNumberFormat="1" applyFont="1" applyFill="1" applyBorder="1" applyAlignment="1">
      <alignment horizontal="right" vertical="center" wrapText="1"/>
    </xf>
    <xf numFmtId="49" fontId="36" fillId="11" borderId="5" xfId="0" applyNumberFormat="1" applyFont="1" applyFill="1" applyBorder="1" applyAlignment="1">
      <alignment horizontal="left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1" borderId="22" xfId="0" applyFont="1" applyFill="1" applyBorder="1" applyAlignment="1">
      <alignment horizontal="center" vertical="center" wrapText="1"/>
    </xf>
    <xf numFmtId="0" fontId="25" fillId="11" borderId="28" xfId="0" applyFont="1" applyFill="1" applyBorder="1" applyAlignment="1">
      <alignment horizontal="left" vertical="center" wrapText="1"/>
    </xf>
    <xf numFmtId="0" fontId="25" fillId="11" borderId="22" xfId="0" applyFont="1" applyFill="1" applyBorder="1" applyAlignment="1">
      <alignment horizontal="left" vertical="center" wrapText="1"/>
    </xf>
    <xf numFmtId="49" fontId="36" fillId="11" borderId="20" xfId="0" applyNumberFormat="1" applyFont="1" applyFill="1" applyBorder="1" applyAlignment="1">
      <alignment horizontal="left" vertical="center" wrapText="1"/>
    </xf>
    <xf numFmtId="0" fontId="25" fillId="11" borderId="35" xfId="89" applyFont="1" applyFill="1" applyBorder="1" applyAlignment="1">
      <alignment horizontal="left" vertical="center" wrapText="1"/>
    </xf>
    <xf numFmtId="166" fontId="29" fillId="0" borderId="35" xfId="89" applyNumberFormat="1" applyFont="1" applyFill="1" applyBorder="1" applyAlignment="1">
      <alignment horizontal="right" vertical="center" wrapText="1"/>
    </xf>
    <xf numFmtId="0" fontId="25" fillId="11" borderId="23" xfId="89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right" vertical="center"/>
    </xf>
    <xf numFmtId="0" fontId="0" fillId="0" borderId="0" xfId="0" applyFill="1"/>
    <xf numFmtId="0" fontId="21" fillId="0" borderId="0" xfId="89" applyFont="1" applyFill="1"/>
    <xf numFmtId="0" fontId="41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0" borderId="0" xfId="0" applyFont="1"/>
    <xf numFmtId="0" fontId="36" fillId="0" borderId="0" xfId="0" applyFont="1" applyAlignment="1">
      <alignment horizontal="center" vertical="center"/>
    </xf>
    <xf numFmtId="4" fontId="36" fillId="0" borderId="0" xfId="0" applyNumberFormat="1" applyFont="1"/>
    <xf numFmtId="0" fontId="35" fillId="6" borderId="11" xfId="0" applyFont="1" applyFill="1" applyBorder="1" applyAlignment="1">
      <alignment horizontal="right" vertical="center"/>
    </xf>
    <xf numFmtId="0" fontId="35" fillId="6" borderId="12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center" vertical="center"/>
    </xf>
    <xf numFmtId="166" fontId="36" fillId="0" borderId="29" xfId="0" applyNumberFormat="1" applyFont="1" applyFill="1" applyBorder="1"/>
    <xf numFmtId="2" fontId="36" fillId="0" borderId="29" xfId="0" applyNumberFormat="1" applyFont="1" applyFill="1" applyBorder="1" applyAlignment="1">
      <alignment horizontal="center" vertical="center"/>
    </xf>
    <xf numFmtId="166" fontId="36" fillId="0" borderId="24" xfId="0" applyNumberFormat="1" applyFont="1" applyFill="1" applyBorder="1"/>
    <xf numFmtId="2" fontId="36" fillId="0" borderId="24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166" fontId="36" fillId="0" borderId="0" xfId="0" applyNumberFormat="1" applyFont="1" applyFill="1" applyBorder="1"/>
    <xf numFmtId="2" fontId="36" fillId="0" borderId="0" xfId="0" applyNumberFormat="1" applyFont="1" applyFill="1" applyBorder="1" applyAlignment="1">
      <alignment horizontal="center" vertical="center"/>
    </xf>
    <xf numFmtId="166" fontId="36" fillId="13" borderId="24" xfId="0" applyNumberFormat="1" applyFont="1" applyFill="1" applyBorder="1"/>
    <xf numFmtId="2" fontId="36" fillId="13" borderId="24" xfId="0" applyNumberFormat="1" applyFont="1" applyFill="1" applyBorder="1" applyAlignment="1">
      <alignment horizontal="center" vertical="center"/>
    </xf>
    <xf numFmtId="166" fontId="36" fillId="13" borderId="0" xfId="0" applyNumberFormat="1" applyFont="1" applyFill="1" applyBorder="1"/>
    <xf numFmtId="2" fontId="36" fillId="13" borderId="0" xfId="0" applyNumberFormat="1" applyFont="1" applyFill="1" applyBorder="1" applyAlignment="1">
      <alignment horizontal="center" vertical="center"/>
    </xf>
    <xf numFmtId="0" fontId="36" fillId="0" borderId="0" xfId="0" applyFont="1" applyBorder="1"/>
    <xf numFmtId="0" fontId="35" fillId="0" borderId="0" xfId="0" applyFont="1" applyAlignment="1">
      <alignment horizontal="center" vertical="center"/>
    </xf>
    <xf numFmtId="166" fontId="36" fillId="0" borderId="0" xfId="0" applyNumberFormat="1" applyFont="1"/>
    <xf numFmtId="0" fontId="36" fillId="0" borderId="0" xfId="0" applyFont="1" applyAlignment="1">
      <alignment horizontal="left" vertical="top" wrapText="1"/>
    </xf>
    <xf numFmtId="0" fontId="43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40" fillId="0" borderId="0" xfId="0" applyFont="1" applyFill="1"/>
    <xf numFmtId="0" fontId="36" fillId="0" borderId="0" xfId="0" applyFont="1" applyFill="1"/>
    <xf numFmtId="0" fontId="36" fillId="0" borderId="0" xfId="0" applyFont="1" applyFill="1" applyBorder="1"/>
    <xf numFmtId="0" fontId="35" fillId="0" borderId="0" xfId="0" applyFont="1"/>
    <xf numFmtId="0" fontId="35" fillId="6" borderId="0" xfId="0" applyFont="1" applyFill="1"/>
    <xf numFmtId="166" fontId="35" fillId="14" borderId="0" xfId="0" applyNumberFormat="1" applyFont="1" applyFill="1" applyAlignment="1">
      <alignment vertical="center"/>
    </xf>
    <xf numFmtId="0" fontId="35" fillId="14" borderId="0" xfId="0" applyFont="1" applyFill="1"/>
    <xf numFmtId="0" fontId="36" fillId="14" borderId="0" xfId="0" applyFont="1" applyFill="1"/>
    <xf numFmtId="0" fontId="36" fillId="16" borderId="0" xfId="0" applyFont="1" applyFill="1"/>
    <xf numFmtId="166" fontId="35" fillId="0" borderId="0" xfId="0" applyNumberFormat="1" applyFont="1" applyFill="1" applyAlignment="1">
      <alignment vertical="center"/>
    </xf>
    <xf numFmtId="0" fontId="35" fillId="0" borderId="0" xfId="0" applyFont="1" applyFill="1"/>
    <xf numFmtId="0" fontId="22" fillId="0" borderId="0" xfId="0" applyFont="1" applyAlignment="1">
      <alignment horizontal="left" vertical="center"/>
    </xf>
    <xf numFmtId="0" fontId="37" fillId="0" borderId="0" xfId="89" applyFont="1" applyFill="1" applyAlignment="1">
      <alignment horizontal="left" vertical="center"/>
    </xf>
    <xf numFmtId="0" fontId="24" fillId="0" borderId="0" xfId="89" applyFont="1" applyFill="1"/>
    <xf numFmtId="0" fontId="26" fillId="0" borderId="0" xfId="89" applyFont="1" applyFill="1"/>
    <xf numFmtId="0" fontId="21" fillId="0" borderId="0" xfId="89" applyFont="1" applyFill="1" applyAlignment="1">
      <alignment horizontal="left" vertical="center"/>
    </xf>
    <xf numFmtId="49" fontId="24" fillId="0" borderId="0" xfId="89" applyNumberFormat="1" applyFont="1" applyFill="1" applyAlignment="1">
      <alignment horizontal="left" vertical="center"/>
    </xf>
    <xf numFmtId="0" fontId="20" fillId="0" borderId="0" xfId="89" applyFont="1" applyFill="1" applyAlignment="1">
      <alignment horizontal="left" vertical="center"/>
    </xf>
    <xf numFmtId="166" fontId="1" fillId="7" borderId="20" xfId="89" applyNumberFormat="1" applyFont="1" applyFill="1" applyBorder="1" applyAlignment="1">
      <alignment horizontal="right" vertical="center" wrapText="1"/>
    </xf>
    <xf numFmtId="0" fontId="1" fillId="7" borderId="22" xfId="89" applyFont="1" applyFill="1" applyBorder="1" applyAlignment="1">
      <alignment horizontal="left" vertical="center" wrapText="1"/>
    </xf>
    <xf numFmtId="0" fontId="1" fillId="7" borderId="20" xfId="89" applyFont="1" applyFill="1" applyBorder="1" applyAlignment="1">
      <alignment horizontal="center" vertical="center" wrapText="1"/>
    </xf>
    <xf numFmtId="0" fontId="45" fillId="7" borderId="26" xfId="0" applyFont="1" applyFill="1" applyBorder="1" applyAlignment="1">
      <alignment vertical="center" wrapText="1"/>
    </xf>
    <xf numFmtId="0" fontId="36" fillId="7" borderId="26" xfId="0" applyFont="1" applyFill="1" applyBorder="1" applyAlignment="1">
      <alignment vertical="center" wrapText="1"/>
    </xf>
    <xf numFmtId="0" fontId="1" fillId="7" borderId="24" xfId="89" applyFont="1" applyFill="1" applyBorder="1" applyAlignment="1">
      <alignment horizontal="left" vertical="center" wrapText="1"/>
    </xf>
    <xf numFmtId="0" fontId="25" fillId="7" borderId="20" xfId="0" applyFont="1" applyFill="1" applyBorder="1" applyAlignment="1">
      <alignment horizontal="right" vertical="center" wrapText="1"/>
    </xf>
    <xf numFmtId="166" fontId="40" fillId="0" borderId="8" xfId="89" applyNumberFormat="1" applyFont="1" applyFill="1" applyBorder="1" applyAlignment="1">
      <alignment horizontal="center" vertical="center" wrapText="1"/>
    </xf>
    <xf numFmtId="167" fontId="29" fillId="0" borderId="20" xfId="89" applyNumberFormat="1" applyFont="1" applyFill="1" applyBorder="1" applyAlignment="1">
      <alignment horizontal="center" vertical="center" wrapText="1"/>
    </xf>
    <xf numFmtId="0" fontId="25" fillId="11" borderId="40" xfId="0" applyFont="1" applyFill="1" applyBorder="1" applyAlignment="1">
      <alignment horizontal="left" vertical="center" wrapText="1"/>
    </xf>
    <xf numFmtId="49" fontId="36" fillId="11" borderId="5" xfId="0" applyNumberFormat="1" applyFont="1" applyFill="1" applyBorder="1" applyAlignment="1">
      <alignment vertical="center" wrapText="1"/>
    </xf>
    <xf numFmtId="14" fontId="36" fillId="11" borderId="27" xfId="0" applyNumberFormat="1" applyFont="1" applyFill="1" applyBorder="1" applyAlignment="1">
      <alignment horizontal="center" vertical="center" wrapText="1"/>
    </xf>
    <xf numFmtId="0" fontId="25" fillId="11" borderId="29" xfId="0" applyFont="1" applyFill="1" applyBorder="1" applyAlignment="1">
      <alignment horizontal="left" vertical="center" wrapText="1"/>
    </xf>
    <xf numFmtId="49" fontId="25" fillId="11" borderId="4" xfId="89" applyNumberFormat="1" applyFont="1" applyFill="1" applyBorder="1" applyAlignment="1">
      <alignment horizontal="left" vertical="center" wrapText="1"/>
    </xf>
    <xf numFmtId="0" fontId="25" fillId="11" borderId="32" xfId="89" applyFont="1" applyFill="1" applyBorder="1" applyAlignment="1">
      <alignment horizontal="left" vertical="center" wrapText="1"/>
    </xf>
    <xf numFmtId="0" fontId="25" fillId="11" borderId="7" xfId="89" applyFont="1" applyFill="1" applyBorder="1" applyAlignment="1">
      <alignment horizontal="left" vertical="center" wrapText="1"/>
    </xf>
    <xf numFmtId="0" fontId="25" fillId="0" borderId="52" xfId="89" applyFont="1" applyFill="1" applyBorder="1" applyAlignment="1">
      <alignment horizontal="left" vertical="center" wrapText="1"/>
    </xf>
    <xf numFmtId="1" fontId="25" fillId="0" borderId="23" xfId="89" applyNumberFormat="1" applyFont="1" applyFill="1" applyBorder="1" applyAlignment="1">
      <alignment horizontal="center" vertical="center" wrapText="1"/>
    </xf>
    <xf numFmtId="0" fontId="25" fillId="0" borderId="26" xfId="89" applyFont="1" applyFill="1" applyBorder="1" applyAlignment="1">
      <alignment horizontal="left" vertical="center" wrapText="1"/>
    </xf>
    <xf numFmtId="16" fontId="25" fillId="11" borderId="4" xfId="89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25" fillId="0" borderId="0" xfId="89" applyFont="1" applyFill="1" applyBorder="1" applyAlignment="1">
      <alignment horizontal="center" vertical="center" wrapText="1"/>
    </xf>
    <xf numFmtId="1" fontId="25" fillId="2" borderId="33" xfId="89" applyNumberFormat="1" applyFont="1" applyFill="1" applyBorder="1" applyAlignment="1">
      <alignment horizontal="center" vertical="center" wrapText="1"/>
    </xf>
    <xf numFmtId="0" fontId="25" fillId="2" borderId="36" xfId="89" applyFont="1" applyFill="1" applyBorder="1" applyAlignment="1">
      <alignment horizontal="left" vertical="center" wrapText="1"/>
    </xf>
    <xf numFmtId="0" fontId="25" fillId="2" borderId="1" xfId="89" applyFont="1" applyFill="1" applyBorder="1" applyAlignment="1">
      <alignment horizontal="left" vertical="center" wrapText="1"/>
    </xf>
    <xf numFmtId="1" fontId="25" fillId="2" borderId="2" xfId="89" applyNumberFormat="1" applyFont="1" applyFill="1" applyBorder="1" applyAlignment="1">
      <alignment horizontal="center" vertical="center" wrapText="1"/>
    </xf>
    <xf numFmtId="0" fontId="25" fillId="2" borderId="53" xfId="89" applyFont="1" applyFill="1" applyBorder="1" applyAlignment="1">
      <alignment horizontal="left" vertical="center" wrapText="1"/>
    </xf>
    <xf numFmtId="2" fontId="34" fillId="0" borderId="29" xfId="0" applyNumberFormat="1" applyFont="1" applyBorder="1" applyAlignment="1">
      <alignment horizontal="center" vertical="center"/>
    </xf>
    <xf numFmtId="2" fontId="34" fillId="0" borderId="24" xfId="0" applyNumberFormat="1" applyFont="1" applyBorder="1" applyAlignment="1">
      <alignment horizontal="center" vertical="center"/>
    </xf>
    <xf numFmtId="1" fontId="34" fillId="0" borderId="29" xfId="0" applyNumberFormat="1" applyFont="1" applyBorder="1" applyAlignment="1">
      <alignment horizontal="center" vertical="center"/>
    </xf>
    <xf numFmtId="0" fontId="46" fillId="0" borderId="0" xfId="0" applyFont="1"/>
    <xf numFmtId="0" fontId="46" fillId="0" borderId="29" xfId="0" applyFont="1" applyBorder="1" applyAlignment="1">
      <alignment horizontal="center" vertical="center"/>
    </xf>
    <xf numFmtId="1" fontId="46" fillId="0" borderId="29" xfId="0" applyNumberFormat="1" applyFont="1" applyBorder="1" applyAlignment="1">
      <alignment horizontal="center" vertical="center"/>
    </xf>
    <xf numFmtId="0" fontId="46" fillId="0" borderId="24" xfId="0" applyFont="1" applyBorder="1" applyAlignment="1">
      <alignment horizontal="center" vertical="center"/>
    </xf>
    <xf numFmtId="1" fontId="46" fillId="0" borderId="24" xfId="0" applyNumberFormat="1" applyFont="1" applyBorder="1" applyAlignment="1">
      <alignment horizontal="center" vertical="center"/>
    </xf>
    <xf numFmtId="0" fontId="47" fillId="0" borderId="0" xfId="0" applyFont="1"/>
    <xf numFmtId="2" fontId="47" fillId="0" borderId="29" xfId="0" applyNumberFormat="1" applyFont="1" applyBorder="1" applyAlignment="1">
      <alignment horizontal="center" vertical="center"/>
    </xf>
    <xf numFmtId="1" fontId="47" fillId="0" borderId="24" xfId="0" applyNumberFormat="1" applyFont="1" applyBorder="1" applyAlignment="1">
      <alignment horizontal="center" vertical="center"/>
    </xf>
    <xf numFmtId="1" fontId="34" fillId="0" borderId="56" xfId="0" applyNumberFormat="1" applyFont="1" applyBorder="1" applyAlignment="1">
      <alignment horizontal="center" vertical="center"/>
    </xf>
    <xf numFmtId="0" fontId="48" fillId="0" borderId="55" xfId="0" applyFont="1" applyBorder="1" applyAlignment="1">
      <alignment horizontal="center" vertical="center"/>
    </xf>
    <xf numFmtId="0" fontId="48" fillId="0" borderId="53" xfId="0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/>
    </xf>
    <xf numFmtId="0" fontId="48" fillId="0" borderId="58" xfId="0" applyFont="1" applyBorder="1" applyAlignment="1">
      <alignment horizontal="center" vertical="center"/>
    </xf>
    <xf numFmtId="1" fontId="48" fillId="0" borderId="53" xfId="0" applyNumberFormat="1" applyFont="1" applyBorder="1" applyAlignment="1">
      <alignment horizontal="center" vertical="center"/>
    </xf>
    <xf numFmtId="1" fontId="48" fillId="0" borderId="58" xfId="0" applyNumberFormat="1" applyFont="1" applyBorder="1" applyAlignment="1">
      <alignment horizontal="center" vertical="center"/>
    </xf>
    <xf numFmtId="0" fontId="48" fillId="0" borderId="0" xfId="0" applyFont="1" applyAlignment="1">
      <alignment wrapText="1"/>
    </xf>
    <xf numFmtId="0" fontId="48" fillId="0" borderId="1" xfId="0" applyFont="1" applyBorder="1" applyAlignment="1">
      <alignment wrapText="1"/>
    </xf>
    <xf numFmtId="0" fontId="48" fillId="0" borderId="9" xfId="0" applyFont="1" applyBorder="1" applyAlignment="1">
      <alignment wrapText="1"/>
    </xf>
    <xf numFmtId="0" fontId="34" fillId="0" borderId="1" xfId="0" applyFont="1" applyBorder="1" applyAlignment="1">
      <alignment wrapText="1"/>
    </xf>
    <xf numFmtId="0" fontId="34" fillId="0" borderId="54" xfId="0" applyFont="1" applyBorder="1" applyAlignment="1">
      <alignment wrapText="1"/>
    </xf>
    <xf numFmtId="0" fontId="34" fillId="0" borderId="3" xfId="0" applyFont="1" applyBorder="1" applyAlignment="1">
      <alignment wrapText="1"/>
    </xf>
    <xf numFmtId="0" fontId="49" fillId="0" borderId="0" xfId="0" applyFont="1" applyAlignment="1">
      <alignment wrapText="1"/>
    </xf>
    <xf numFmtId="0" fontId="49" fillId="0" borderId="3" xfId="0" applyFont="1" applyBorder="1" applyAlignment="1">
      <alignment wrapText="1"/>
    </xf>
    <xf numFmtId="0" fontId="25" fillId="2" borderId="32" xfId="89" applyFont="1" applyFill="1" applyBorder="1" applyAlignment="1">
      <alignment horizontal="center" vertical="center" wrapText="1"/>
    </xf>
    <xf numFmtId="166" fontId="25" fillId="2" borderId="23" xfId="89" applyNumberFormat="1" applyFont="1" applyFill="1" applyBorder="1" applyAlignment="1">
      <alignment horizontal="right" vertical="center" wrapText="1"/>
    </xf>
    <xf numFmtId="0" fontId="25" fillId="2" borderId="52" xfId="89" applyFont="1" applyFill="1" applyBorder="1" applyAlignment="1">
      <alignment horizontal="left" vertical="center" wrapText="1"/>
    </xf>
    <xf numFmtId="1" fontId="25" fillId="2" borderId="4" xfId="89" applyNumberFormat="1" applyFont="1" applyFill="1" applyBorder="1" applyAlignment="1">
      <alignment horizontal="center" vertical="center" wrapText="1"/>
    </xf>
    <xf numFmtId="49" fontId="0" fillId="0" borderId="0" xfId="0" applyNumberFormat="1" applyAlignment="1"/>
    <xf numFmtId="49" fontId="34" fillId="0" borderId="47" xfId="0" applyNumberFormat="1" applyFont="1" applyFill="1" applyBorder="1" applyAlignment="1">
      <alignment horizontal="left" vertical="center"/>
    </xf>
    <xf numFmtId="0" fontId="25" fillId="2" borderId="7" xfId="89" applyFont="1" applyFill="1" applyBorder="1" applyAlignment="1">
      <alignment horizontal="left" vertical="center" wrapText="1"/>
    </xf>
    <xf numFmtId="0" fontId="25" fillId="2" borderId="35" xfId="89" applyFont="1" applyFill="1" applyBorder="1" applyAlignment="1">
      <alignment horizontal="left" vertical="center" wrapText="1"/>
    </xf>
    <xf numFmtId="1" fontId="25" fillId="2" borderId="23" xfId="89" applyNumberFormat="1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6" fillId="0" borderId="0" xfId="0" applyFont="1" applyAlignment="1">
      <alignment wrapText="1"/>
    </xf>
    <xf numFmtId="0" fontId="36" fillId="0" borderId="0" xfId="0" applyFont="1" applyAlignment="1">
      <alignment wrapText="1"/>
    </xf>
    <xf numFmtId="166" fontId="41" fillId="0" borderId="20" xfId="89" applyNumberFormat="1" applyFont="1" applyBorder="1" applyAlignment="1">
      <alignment horizontal="center" vertical="center" wrapText="1"/>
    </xf>
    <xf numFmtId="166" fontId="40" fillId="0" borderId="20" xfId="89" applyNumberFormat="1" applyFont="1" applyBorder="1" applyAlignment="1">
      <alignment horizontal="center" vertical="center" wrapText="1"/>
    </xf>
    <xf numFmtId="166" fontId="40" fillId="0" borderId="23" xfId="89" applyNumberFormat="1" applyFont="1" applyFill="1" applyBorder="1" applyAlignment="1">
      <alignment horizontal="center" vertical="center" wrapText="1"/>
    </xf>
    <xf numFmtId="0" fontId="25" fillId="0" borderId="0" xfId="89" applyFont="1" applyAlignment="1">
      <alignment horizontal="left" vertical="top" wrapText="1"/>
    </xf>
    <xf numFmtId="166" fontId="25" fillId="7" borderId="20" xfId="0" applyNumberFormat="1" applyFont="1" applyFill="1" applyBorder="1" applyAlignment="1">
      <alignment horizontal="right" vertical="center" wrapText="1"/>
    </xf>
    <xf numFmtId="2" fontId="3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1" fontId="36" fillId="0" borderId="0" xfId="0" applyNumberFormat="1" applyFont="1" applyAlignment="1">
      <alignment horizontal="center" vertical="center"/>
    </xf>
    <xf numFmtId="0" fontId="36" fillId="0" borderId="29" xfId="0" applyFont="1" applyBorder="1"/>
    <xf numFmtId="0" fontId="36" fillId="0" borderId="29" xfId="0" applyFont="1" applyBorder="1" applyAlignment="1">
      <alignment horizontal="center" vertical="center"/>
    </xf>
    <xf numFmtId="0" fontId="36" fillId="0" borderId="24" xfId="0" applyFont="1" applyBorder="1"/>
    <xf numFmtId="0" fontId="36" fillId="0" borderId="24" xfId="0" applyFont="1" applyBorder="1" applyAlignment="1">
      <alignment horizontal="center" vertical="center"/>
    </xf>
    <xf numFmtId="0" fontId="36" fillId="0" borderId="1" xfId="0" applyFont="1" applyBorder="1"/>
    <xf numFmtId="0" fontId="36" fillId="0" borderId="1" xfId="0" applyFont="1" applyBorder="1" applyAlignment="1">
      <alignment horizontal="center" vertical="center"/>
    </xf>
    <xf numFmtId="0" fontId="35" fillId="0" borderId="0" xfId="0" applyFont="1" applyAlignment="1">
      <alignment wrapText="1"/>
    </xf>
    <xf numFmtId="0" fontId="36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6" borderId="29" xfId="0" applyFont="1" applyFill="1" applyBorder="1"/>
    <xf numFmtId="1" fontId="36" fillId="6" borderId="22" xfId="0" applyNumberFormat="1" applyFont="1" applyFill="1" applyBorder="1" applyAlignment="1">
      <alignment horizontal="center" vertical="center"/>
    </xf>
    <xf numFmtId="1" fontId="36" fillId="6" borderId="23" xfId="0" applyNumberFormat="1" applyFont="1" applyFill="1" applyBorder="1" applyAlignment="1">
      <alignment horizontal="center" vertical="center"/>
    </xf>
    <xf numFmtId="1" fontId="36" fillId="6" borderId="49" xfId="0" applyNumberFormat="1" applyFont="1" applyFill="1" applyBorder="1" applyAlignment="1">
      <alignment horizontal="center" vertical="center"/>
    </xf>
    <xf numFmtId="1" fontId="36" fillId="6" borderId="59" xfId="0" applyNumberFormat="1" applyFont="1" applyFill="1" applyBorder="1" applyAlignment="1">
      <alignment horizontal="center" vertical="center"/>
    </xf>
    <xf numFmtId="1" fontId="36" fillId="0" borderId="0" xfId="0" applyNumberFormat="1" applyFont="1" applyBorder="1" applyAlignment="1">
      <alignment horizontal="center" vertical="center"/>
    </xf>
    <xf numFmtId="1" fontId="36" fillId="0" borderId="0" xfId="0" applyNumberFormat="1" applyFont="1" applyBorder="1"/>
    <xf numFmtId="0" fontId="36" fillId="0" borderId="6" xfId="0" applyFont="1" applyBorder="1"/>
    <xf numFmtId="1" fontId="36" fillId="0" borderId="22" xfId="0" applyNumberFormat="1" applyFont="1" applyBorder="1" applyAlignment="1">
      <alignment horizontal="center" vertical="center"/>
    </xf>
    <xf numFmtId="1" fontId="36" fillId="0" borderId="23" xfId="0" applyNumberFormat="1" applyFont="1" applyBorder="1" applyAlignment="1">
      <alignment horizontal="center" vertical="center"/>
    </xf>
    <xf numFmtId="49" fontId="36" fillId="6" borderId="1" xfId="0" applyNumberFormat="1" applyFont="1" applyFill="1" applyBorder="1" applyAlignment="1">
      <alignment wrapText="1"/>
    </xf>
    <xf numFmtId="1" fontId="36" fillId="0" borderId="59" xfId="0" applyNumberFormat="1" applyFont="1" applyBorder="1" applyAlignment="1">
      <alignment horizontal="center" vertical="center"/>
    </xf>
    <xf numFmtId="0" fontId="36" fillId="0" borderId="0" xfId="0" applyFont="1" applyBorder="1" applyAlignment="1">
      <alignment wrapText="1"/>
    </xf>
    <xf numFmtId="0" fontId="36" fillId="6" borderId="24" xfId="0" applyFont="1" applyFill="1" applyBorder="1"/>
    <xf numFmtId="0" fontId="36" fillId="15" borderId="6" xfId="0" applyFont="1" applyFill="1" applyBorder="1" applyAlignment="1">
      <alignment wrapText="1"/>
    </xf>
    <xf numFmtId="1" fontId="36" fillId="15" borderId="31" xfId="0" applyNumberFormat="1" applyFont="1" applyFill="1" applyBorder="1" applyAlignment="1">
      <alignment horizontal="center" vertical="center"/>
    </xf>
    <xf numFmtId="1" fontId="36" fillId="15" borderId="57" xfId="0" applyNumberFormat="1" applyFont="1" applyFill="1" applyBorder="1" applyAlignment="1">
      <alignment horizontal="center" vertical="center"/>
    </xf>
    <xf numFmtId="1" fontId="36" fillId="15" borderId="30" xfId="0" applyNumberFormat="1" applyFont="1" applyFill="1" applyBorder="1" applyAlignment="1">
      <alignment horizontal="center" vertical="center"/>
    </xf>
    <xf numFmtId="0" fontId="41" fillId="0" borderId="4" xfId="89" applyFont="1" applyBorder="1" applyAlignment="1">
      <alignment horizontal="center" vertical="center" wrapText="1"/>
    </xf>
    <xf numFmtId="0" fontId="41" fillId="0" borderId="32" xfId="89" applyFont="1" applyBorder="1" applyAlignment="1">
      <alignment horizontal="center" vertical="center" wrapText="1"/>
    </xf>
    <xf numFmtId="0" fontId="40" fillId="0" borderId="33" xfId="89" applyFont="1" applyBorder="1" applyAlignment="1">
      <alignment horizontal="center" vertical="center" wrapText="1"/>
    </xf>
    <xf numFmtId="0" fontId="40" fillId="0" borderId="10" xfId="89" applyFont="1" applyFill="1" applyBorder="1" applyAlignment="1">
      <alignment horizontal="center" vertical="center" wrapText="1"/>
    </xf>
    <xf numFmtId="166" fontId="41" fillId="0" borderId="21" xfId="89" applyNumberFormat="1" applyFont="1" applyBorder="1" applyAlignment="1">
      <alignment horizontal="center" vertical="center" wrapText="1"/>
    </xf>
    <xf numFmtId="166" fontId="40" fillId="0" borderId="22" xfId="89" applyNumberFormat="1" applyFont="1" applyBorder="1" applyAlignment="1">
      <alignment horizontal="center" vertical="center" wrapText="1"/>
    </xf>
    <xf numFmtId="166" fontId="41" fillId="0" borderId="5" xfId="89" applyNumberFormat="1" applyFont="1" applyBorder="1" applyAlignment="1">
      <alignment horizontal="center" vertical="center" wrapText="1"/>
    </xf>
    <xf numFmtId="166" fontId="41" fillId="0" borderId="27" xfId="89" applyNumberFormat="1" applyFont="1" applyBorder="1" applyAlignment="1">
      <alignment horizontal="center" vertical="center" wrapText="1"/>
    </xf>
    <xf numFmtId="166" fontId="40" fillId="0" borderId="28" xfId="89" applyNumberFormat="1" applyFont="1" applyBorder="1" applyAlignment="1">
      <alignment horizontal="center" vertical="center" wrapText="1"/>
    </xf>
    <xf numFmtId="166" fontId="41" fillId="0" borderId="4" xfId="89" applyNumberFormat="1" applyFont="1" applyBorder="1" applyAlignment="1">
      <alignment horizontal="center" vertical="center" wrapText="1"/>
    </xf>
    <xf numFmtId="166" fontId="40" fillId="0" borderId="4" xfId="89" applyNumberFormat="1" applyFont="1" applyBorder="1" applyAlignment="1">
      <alignment horizontal="center" vertical="center" wrapText="1"/>
    </xf>
    <xf numFmtId="166" fontId="40" fillId="0" borderId="10" xfId="89" applyNumberFormat="1" applyFont="1" applyFill="1" applyBorder="1" applyAlignment="1">
      <alignment horizontal="center" vertical="center" wrapText="1"/>
    </xf>
    <xf numFmtId="0" fontId="25" fillId="0" borderId="0" xfId="89" applyFont="1" applyAlignment="1">
      <alignment horizontal="left" vertical="center" wrapText="1"/>
    </xf>
    <xf numFmtId="166" fontId="40" fillId="0" borderId="5" xfId="89" applyNumberFormat="1" applyFont="1" applyBorder="1" applyAlignment="1">
      <alignment horizontal="center" vertical="center" wrapText="1"/>
    </xf>
    <xf numFmtId="166" fontId="41" fillId="0" borderId="48" xfId="89" applyNumberFormat="1" applyFont="1" applyBorder="1" applyAlignment="1">
      <alignment horizontal="center" vertical="center" wrapText="1"/>
    </xf>
    <xf numFmtId="166" fontId="40" fillId="0" borderId="46" xfId="89" applyNumberFormat="1" applyFont="1" applyBorder="1" applyAlignment="1">
      <alignment horizontal="center" vertical="center" wrapText="1"/>
    </xf>
    <xf numFmtId="166" fontId="40" fillId="0" borderId="48" xfId="89" applyNumberFormat="1" applyFont="1" applyBorder="1" applyAlignment="1">
      <alignment horizontal="center" vertical="center" wrapText="1"/>
    </xf>
    <xf numFmtId="166" fontId="40" fillId="0" borderId="51" xfId="89" applyNumberFormat="1" applyFont="1" applyFill="1" applyBorder="1" applyAlignment="1">
      <alignment horizontal="center" vertical="center" wrapText="1"/>
    </xf>
    <xf numFmtId="0" fontId="41" fillId="0" borderId="0" xfId="0" applyFont="1"/>
    <xf numFmtId="49" fontId="35" fillId="0" borderId="9" xfId="0" applyNumberFormat="1" applyFont="1" applyBorder="1" applyAlignment="1">
      <alignment horizontal="center" vertical="center" wrapText="1"/>
    </xf>
    <xf numFmtId="49" fontId="35" fillId="0" borderId="3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0" fontId="36" fillId="0" borderId="55" xfId="0" applyFont="1" applyFill="1" applyBorder="1" applyAlignment="1">
      <alignment horizontal="center" vertical="center"/>
    </xf>
    <xf numFmtId="166" fontId="36" fillId="0" borderId="31" xfId="0" applyNumberFormat="1" applyFont="1" applyFill="1" applyBorder="1"/>
    <xf numFmtId="0" fontId="36" fillId="0" borderId="53" xfId="0" applyFont="1" applyFill="1" applyBorder="1" applyAlignment="1">
      <alignment horizontal="center" vertical="center"/>
    </xf>
    <xf numFmtId="166" fontId="36" fillId="0" borderId="30" xfId="0" applyNumberFormat="1" applyFont="1" applyFill="1" applyBorder="1"/>
    <xf numFmtId="0" fontId="36" fillId="0" borderId="60" xfId="0" applyFont="1" applyFill="1" applyBorder="1" applyAlignment="1">
      <alignment horizontal="center" vertical="center"/>
    </xf>
    <xf numFmtId="166" fontId="36" fillId="0" borderId="45" xfId="0" applyNumberFormat="1" applyFont="1" applyFill="1" applyBorder="1"/>
    <xf numFmtId="0" fontId="36" fillId="13" borderId="53" xfId="0" applyFont="1" applyFill="1" applyBorder="1" applyAlignment="1">
      <alignment horizontal="center" vertical="center"/>
    </xf>
    <xf numFmtId="166" fontId="36" fillId="13" borderId="30" xfId="0" applyNumberFormat="1" applyFont="1" applyFill="1" applyBorder="1"/>
    <xf numFmtId="0" fontId="36" fillId="13" borderId="60" xfId="0" applyFont="1" applyFill="1" applyBorder="1" applyAlignment="1">
      <alignment horizontal="center" vertical="center"/>
    </xf>
    <xf numFmtId="166" fontId="36" fillId="13" borderId="45" xfId="0" applyNumberFormat="1" applyFont="1" applyFill="1" applyBorder="1"/>
    <xf numFmtId="0" fontId="36" fillId="13" borderId="58" xfId="0" applyFont="1" applyFill="1" applyBorder="1" applyAlignment="1">
      <alignment horizontal="center" vertical="center"/>
    </xf>
    <xf numFmtId="166" fontId="36" fillId="13" borderId="56" xfId="0" applyNumberFormat="1" applyFont="1" applyFill="1" applyBorder="1"/>
    <xf numFmtId="2" fontId="36" fillId="13" borderId="56" xfId="0" applyNumberFormat="1" applyFont="1" applyFill="1" applyBorder="1" applyAlignment="1">
      <alignment horizontal="center" vertical="center"/>
    </xf>
    <xf numFmtId="166" fontId="36" fillId="13" borderId="57" xfId="0" applyNumberFormat="1" applyFont="1" applyFill="1" applyBorder="1"/>
    <xf numFmtId="0" fontId="35" fillId="2" borderId="11" xfId="0" applyFont="1" applyFill="1" applyBorder="1" applyAlignment="1">
      <alignment horizontal="center" vertical="center"/>
    </xf>
    <xf numFmtId="166" fontId="35" fillId="2" borderId="44" xfId="0" applyNumberFormat="1" applyFont="1" applyFill="1" applyBorder="1" applyAlignment="1">
      <alignment horizontal="center" vertical="center"/>
    </xf>
    <xf numFmtId="0" fontId="35" fillId="2" borderId="44" xfId="0" applyFont="1" applyFill="1" applyBorder="1" applyAlignment="1">
      <alignment horizontal="right" vertical="center"/>
    </xf>
    <xf numFmtId="166" fontId="35" fillId="2" borderId="12" xfId="0" applyNumberFormat="1" applyFont="1" applyFill="1" applyBorder="1"/>
    <xf numFmtId="0" fontId="35" fillId="2" borderId="11" xfId="0" applyFont="1" applyFill="1" applyBorder="1" applyAlignment="1">
      <alignment horizontal="right" vertical="center"/>
    </xf>
    <xf numFmtId="8" fontId="36" fillId="2" borderId="12" xfId="0" applyNumberFormat="1" applyFont="1" applyFill="1" applyBorder="1"/>
    <xf numFmtId="0" fontId="36" fillId="0" borderId="11" xfId="89" applyFont="1" applyFill="1" applyBorder="1" applyAlignment="1">
      <alignment horizontal="left" vertical="center"/>
    </xf>
    <xf numFmtId="0" fontId="40" fillId="0" borderId="12" xfId="89" applyFont="1" applyFill="1" applyBorder="1" applyAlignment="1">
      <alignment horizontal="center" vertical="center"/>
    </xf>
    <xf numFmtId="0" fontId="40" fillId="0" borderId="12" xfId="89" applyFont="1" applyBorder="1" applyAlignment="1">
      <alignment horizontal="center" vertical="center"/>
    </xf>
    <xf numFmtId="0" fontId="41" fillId="0" borderId="0" xfId="89" applyFont="1" applyFill="1" applyBorder="1" applyAlignment="1">
      <alignment vertical="center" wrapText="1"/>
    </xf>
    <xf numFmtId="0" fontId="41" fillId="7" borderId="20" xfId="89" applyFont="1" applyFill="1" applyBorder="1" applyAlignment="1">
      <alignment horizontal="left" vertical="center" wrapText="1"/>
    </xf>
    <xf numFmtId="0" fontId="41" fillId="17" borderId="20" xfId="89" applyFont="1" applyFill="1" applyBorder="1" applyAlignment="1">
      <alignment vertical="center" wrapText="1"/>
    </xf>
    <xf numFmtId="0" fontId="25" fillId="17" borderId="22" xfId="89" applyFont="1" applyFill="1" applyBorder="1" applyAlignment="1">
      <alignment horizontal="left" vertical="center" wrapText="1"/>
    </xf>
    <xf numFmtId="49" fontId="25" fillId="17" borderId="20" xfId="89" applyNumberFormat="1" applyFont="1" applyFill="1" applyBorder="1" applyAlignment="1">
      <alignment horizontal="left" vertical="center" wrapText="1"/>
    </xf>
    <xf numFmtId="14" fontId="25" fillId="17" borderId="23" xfId="89" applyNumberFormat="1" applyFont="1" applyFill="1" applyBorder="1" applyAlignment="1">
      <alignment horizontal="center" vertical="center" wrapText="1"/>
    </xf>
    <xf numFmtId="0" fontId="25" fillId="17" borderId="22" xfId="89" applyFont="1" applyFill="1" applyBorder="1" applyAlignment="1">
      <alignment horizontal="center" vertical="center" wrapText="1"/>
    </xf>
    <xf numFmtId="0" fontId="25" fillId="17" borderId="20" xfId="89" applyFont="1" applyFill="1" applyBorder="1" applyAlignment="1">
      <alignment horizontal="center" vertical="center" wrapText="1"/>
    </xf>
    <xf numFmtId="167" fontId="29" fillId="17" borderId="20" xfId="89" applyNumberFormat="1" applyFont="1" applyFill="1" applyBorder="1" applyAlignment="1">
      <alignment horizontal="center" vertical="center" wrapText="1"/>
    </xf>
    <xf numFmtId="0" fontId="25" fillId="17" borderId="23" xfId="89" applyFont="1" applyFill="1" applyBorder="1" applyAlignment="1">
      <alignment horizontal="left" vertical="center" wrapText="1"/>
    </xf>
    <xf numFmtId="0" fontId="25" fillId="17" borderId="26" xfId="89" applyFont="1" applyFill="1" applyBorder="1" applyAlignment="1">
      <alignment horizontal="left" vertical="center" wrapText="1"/>
    </xf>
    <xf numFmtId="0" fontId="25" fillId="17" borderId="40" xfId="89" applyFont="1" applyFill="1" applyBorder="1" applyAlignment="1">
      <alignment horizontal="center" vertical="center" wrapText="1"/>
    </xf>
    <xf numFmtId="166" fontId="25" fillId="17" borderId="5" xfId="89" applyNumberFormat="1" applyFont="1" applyFill="1" applyBorder="1" applyAlignment="1">
      <alignment horizontal="right" vertical="center" wrapText="1"/>
    </xf>
    <xf numFmtId="0" fontId="25" fillId="17" borderId="30" xfId="89" applyFont="1" applyFill="1" applyBorder="1" applyAlignment="1">
      <alignment horizontal="left" vertical="center" wrapText="1"/>
    </xf>
    <xf numFmtId="0" fontId="25" fillId="17" borderId="47" xfId="0" applyFont="1" applyFill="1" applyBorder="1" applyAlignment="1">
      <alignment horizontal="left" vertical="center" wrapText="1"/>
    </xf>
    <xf numFmtId="49" fontId="36" fillId="17" borderId="48" xfId="0" applyNumberFormat="1" applyFont="1" applyFill="1" applyBorder="1" applyAlignment="1">
      <alignment horizontal="left" vertical="center" wrapText="1"/>
    </xf>
    <xf numFmtId="14" fontId="36" fillId="17" borderId="46" xfId="0" applyNumberFormat="1" applyFont="1" applyFill="1" applyBorder="1" applyAlignment="1">
      <alignment horizontal="center" vertical="center" wrapText="1"/>
    </xf>
    <xf numFmtId="0" fontId="25" fillId="17" borderId="29" xfId="89" applyFont="1" applyFill="1" applyBorder="1" applyAlignment="1">
      <alignment horizontal="left" vertical="center" wrapText="1"/>
    </xf>
    <xf numFmtId="0" fontId="25" fillId="17" borderId="30" xfId="89" applyFont="1" applyFill="1" applyBorder="1" applyAlignment="1">
      <alignment vertical="center" wrapText="1"/>
    </xf>
    <xf numFmtId="0" fontId="25" fillId="17" borderId="40" xfId="0" applyFont="1" applyFill="1" applyBorder="1" applyAlignment="1">
      <alignment horizontal="left" vertical="center" wrapText="1"/>
    </xf>
    <xf numFmtId="49" fontId="36" fillId="17" borderId="5" xfId="0" applyNumberFormat="1" applyFont="1" applyFill="1" applyBorder="1" applyAlignment="1">
      <alignment horizontal="left" vertical="center" wrapText="1"/>
    </xf>
    <xf numFmtId="14" fontId="36" fillId="17" borderId="27" xfId="0" applyNumberFormat="1" applyFont="1" applyFill="1" applyBorder="1" applyAlignment="1">
      <alignment horizontal="center" vertical="center" wrapText="1"/>
    </xf>
    <xf numFmtId="0" fontId="36" fillId="17" borderId="22" xfId="0" applyFont="1" applyFill="1" applyBorder="1" applyAlignment="1">
      <alignment horizontal="center" vertical="center" wrapText="1"/>
    </xf>
    <xf numFmtId="0" fontId="36" fillId="17" borderId="29" xfId="0" applyFont="1" applyFill="1" applyBorder="1" applyAlignment="1">
      <alignment horizontal="left" vertical="center" wrapText="1"/>
    </xf>
    <xf numFmtId="0" fontId="25" fillId="17" borderId="28" xfId="89" applyFont="1" applyFill="1" applyBorder="1" applyAlignment="1">
      <alignment horizontal="left" vertical="center" wrapText="1"/>
    </xf>
    <xf numFmtId="49" fontId="25" fillId="17" borderId="5" xfId="89" applyNumberFormat="1" applyFont="1" applyFill="1" applyBorder="1" applyAlignment="1">
      <alignment horizontal="left" vertical="center" wrapText="1"/>
    </xf>
    <xf numFmtId="49" fontId="36" fillId="17" borderId="5" xfId="0" applyNumberFormat="1" applyFont="1" applyFill="1" applyBorder="1" applyAlignment="1">
      <alignment vertical="center" wrapText="1"/>
    </xf>
    <xf numFmtId="14" fontId="25" fillId="17" borderId="27" xfId="0" applyNumberFormat="1" applyFont="1" applyFill="1" applyBorder="1" applyAlignment="1">
      <alignment horizontal="center" vertical="center" wrapText="1"/>
    </xf>
    <xf numFmtId="0" fontId="25" fillId="17" borderId="5" xfId="89" applyFont="1" applyFill="1" applyBorder="1" applyAlignment="1">
      <alignment horizontal="center" vertical="center" wrapText="1"/>
    </xf>
    <xf numFmtId="0" fontId="25" fillId="17" borderId="22" xfId="0" applyFont="1" applyFill="1" applyBorder="1" applyAlignment="1">
      <alignment horizontal="center" vertical="center" wrapText="1"/>
    </xf>
    <xf numFmtId="14" fontId="25" fillId="17" borderId="27" xfId="89" applyNumberFormat="1" applyFont="1" applyFill="1" applyBorder="1" applyAlignment="1">
      <alignment horizontal="center" vertical="center" wrapText="1"/>
    </xf>
    <xf numFmtId="0" fontId="36" fillId="17" borderId="40" xfId="0" applyFont="1" applyFill="1" applyBorder="1" applyAlignment="1">
      <alignment vertical="center" wrapText="1"/>
    </xf>
    <xf numFmtId="0" fontId="25" fillId="17" borderId="28" xfId="0" applyFont="1" applyFill="1" applyBorder="1" applyAlignment="1">
      <alignment horizontal="left" vertical="center" wrapText="1"/>
    </xf>
    <xf numFmtId="0" fontId="25" fillId="17" borderId="5" xfId="0" applyFont="1" applyFill="1" applyBorder="1" applyAlignment="1">
      <alignment horizontal="center" vertical="center" wrapText="1"/>
    </xf>
    <xf numFmtId="0" fontId="25" fillId="17" borderId="29" xfId="0" applyFont="1" applyFill="1" applyBorder="1" applyAlignment="1">
      <alignment horizontal="left" vertical="center" wrapText="1"/>
    </xf>
    <xf numFmtId="0" fontId="36" fillId="17" borderId="28" xfId="0" applyFont="1" applyFill="1" applyBorder="1" applyAlignment="1">
      <alignment horizontal="left" vertical="center" wrapText="1"/>
    </xf>
    <xf numFmtId="0" fontId="36" fillId="17" borderId="5" xfId="0" applyFont="1" applyFill="1" applyBorder="1" applyAlignment="1">
      <alignment horizontal="center" vertical="center" wrapText="1"/>
    </xf>
    <xf numFmtId="0" fontId="36" fillId="17" borderId="8" xfId="0" applyFont="1" applyFill="1" applyBorder="1" applyAlignment="1">
      <alignment horizontal="center" vertical="center" wrapText="1"/>
    </xf>
    <xf numFmtId="0" fontId="25" fillId="17" borderId="31" xfId="89" applyFont="1" applyFill="1" applyBorder="1" applyAlignment="1">
      <alignment vertical="center" wrapText="1"/>
    </xf>
    <xf numFmtId="0" fontId="36" fillId="17" borderId="23" xfId="0" applyFont="1" applyFill="1" applyBorder="1" applyAlignment="1">
      <alignment horizontal="left" vertical="center" wrapText="1"/>
    </xf>
    <xf numFmtId="0" fontId="36" fillId="17" borderId="28" xfId="0" applyFont="1" applyFill="1" applyBorder="1" applyAlignment="1">
      <alignment horizontal="center" vertical="center" wrapText="1"/>
    </xf>
    <xf numFmtId="0" fontId="36" fillId="13" borderId="0" xfId="89" applyFont="1" applyFill="1" applyBorder="1" applyAlignment="1">
      <alignment horizontal="center" vertical="center"/>
    </xf>
    <xf numFmtId="0" fontId="35" fillId="0" borderId="0" xfId="89" applyFont="1" applyAlignment="1">
      <alignment horizontal="center" vertical="center" wrapText="1"/>
    </xf>
    <xf numFmtId="0" fontId="28" fillId="12" borderId="19" xfId="89" applyFont="1" applyFill="1" applyBorder="1" applyAlignment="1">
      <alignment horizontal="center" vertical="center" wrapText="1"/>
    </xf>
    <xf numFmtId="1" fontId="28" fillId="12" borderId="19" xfId="89" applyNumberFormat="1" applyFont="1" applyFill="1" applyBorder="1" applyAlignment="1">
      <alignment horizontal="center" vertical="center" wrapText="1"/>
    </xf>
    <xf numFmtId="0" fontId="25" fillId="11" borderId="19" xfId="89" applyFont="1" applyFill="1" applyBorder="1" applyAlignment="1">
      <alignment horizontal="left" vertical="center" wrapText="1"/>
    </xf>
    <xf numFmtId="166" fontId="27" fillId="0" borderId="61" xfId="89" applyNumberFormat="1" applyFont="1" applyFill="1" applyBorder="1" applyAlignment="1">
      <alignment horizontal="center" vertical="center" wrapText="1"/>
    </xf>
    <xf numFmtId="166" fontId="40" fillId="0" borderId="21" xfId="89" applyNumberFormat="1" applyFont="1" applyBorder="1" applyAlignment="1">
      <alignment horizontal="center" vertical="center" wrapText="1"/>
    </xf>
    <xf numFmtId="166" fontId="40" fillId="0" borderId="59" xfId="89" applyNumberFormat="1" applyFont="1" applyFill="1" applyBorder="1" applyAlignment="1">
      <alignment horizontal="center" vertical="center" wrapText="1"/>
    </xf>
    <xf numFmtId="166" fontId="41" fillId="0" borderId="17" xfId="89" applyNumberFormat="1" applyFont="1" applyBorder="1" applyAlignment="1">
      <alignment horizontal="center" vertical="center" wrapText="1"/>
    </xf>
    <xf numFmtId="166" fontId="41" fillId="0" borderId="64" xfId="89" applyNumberFormat="1" applyFont="1" applyBorder="1" applyAlignment="1">
      <alignment horizontal="center" vertical="center" wrapText="1"/>
    </xf>
    <xf numFmtId="166" fontId="41" fillId="0" borderId="50" xfId="89" applyNumberFormat="1" applyFont="1" applyBorder="1" applyAlignment="1">
      <alignment horizontal="center" vertical="center" wrapText="1"/>
    </xf>
    <xf numFmtId="1" fontId="28" fillId="0" borderId="19" xfId="89" applyNumberFormat="1" applyFont="1" applyBorder="1" applyAlignment="1">
      <alignment horizontal="center" vertical="center" wrapText="1"/>
    </xf>
    <xf numFmtId="1" fontId="28" fillId="0" borderId="20" xfId="89" applyNumberFormat="1" applyFont="1" applyBorder="1" applyAlignment="1">
      <alignment horizontal="center" vertical="center" wrapText="1"/>
    </xf>
    <xf numFmtId="1" fontId="28" fillId="0" borderId="2" xfId="89" applyNumberFormat="1" applyFont="1" applyBorder="1" applyAlignment="1">
      <alignment horizontal="center" vertical="center" wrapText="1"/>
    </xf>
    <xf numFmtId="1" fontId="28" fillId="0" borderId="62" xfId="89" applyNumberFormat="1" applyFont="1" applyBorder="1" applyAlignment="1">
      <alignment horizontal="center" vertical="center" wrapText="1"/>
    </xf>
    <xf numFmtId="1" fontId="28" fillId="0" borderId="63" xfId="89" applyNumberFormat="1" applyFont="1" applyBorder="1" applyAlignment="1">
      <alignment horizontal="center" vertical="center" wrapText="1"/>
    </xf>
    <xf numFmtId="1" fontId="28" fillId="0" borderId="40" xfId="89" applyNumberFormat="1" applyFont="1" applyBorder="1" applyAlignment="1">
      <alignment horizontal="center" vertical="center" wrapText="1"/>
    </xf>
    <xf numFmtId="1" fontId="28" fillId="0" borderId="19" xfId="89" applyNumberFormat="1" applyFont="1" applyFill="1" applyBorder="1" applyAlignment="1">
      <alignment horizontal="center" vertical="center" wrapText="1"/>
    </xf>
    <xf numFmtId="1" fontId="28" fillId="12" borderId="2" xfId="89" applyNumberFormat="1" applyFont="1" applyFill="1" applyBorder="1" applyAlignment="1">
      <alignment horizontal="center" vertical="center" wrapText="1"/>
    </xf>
    <xf numFmtId="1" fontId="28" fillId="12" borderId="40" xfId="89" applyNumberFormat="1" applyFont="1" applyFill="1" applyBorder="1" applyAlignment="1">
      <alignment horizontal="center" vertical="center" wrapText="1"/>
    </xf>
    <xf numFmtId="0" fontId="28" fillId="12" borderId="2" xfId="89" applyFont="1" applyFill="1" applyBorder="1" applyAlignment="1">
      <alignment horizontal="center" vertical="center" wrapText="1"/>
    </xf>
    <xf numFmtId="0" fontId="36" fillId="17" borderId="46" xfId="0" applyFont="1" applyFill="1" applyBorder="1" applyAlignment="1">
      <alignment horizontal="left" vertical="center"/>
    </xf>
    <xf numFmtId="0" fontId="36" fillId="17" borderId="32" xfId="0" applyFont="1" applyFill="1" applyBorder="1" applyAlignment="1">
      <alignment horizontal="left" vertical="center"/>
    </xf>
    <xf numFmtId="0" fontId="25" fillId="11" borderId="0" xfId="89" applyFont="1" applyFill="1" applyBorder="1" applyAlignment="1">
      <alignment horizontal="left" vertical="center" wrapText="1"/>
    </xf>
    <xf numFmtId="0" fontId="36" fillId="17" borderId="26" xfId="0" applyFont="1" applyFill="1" applyBorder="1" applyAlignment="1">
      <alignment horizontal="left" vertical="center" wrapText="1"/>
    </xf>
    <xf numFmtId="0" fontId="25" fillId="11" borderId="65" xfId="0" applyFont="1" applyFill="1" applyBorder="1" applyAlignment="1">
      <alignment horizontal="left" vertical="center" wrapText="1"/>
    </xf>
    <xf numFmtId="49" fontId="36" fillId="11" borderId="4" xfId="0" applyNumberFormat="1" applyFont="1" applyFill="1" applyBorder="1" applyAlignment="1">
      <alignment horizontal="left" vertical="center" wrapText="1"/>
    </xf>
    <xf numFmtId="1" fontId="25" fillId="11" borderId="46" xfId="89" applyNumberFormat="1" applyFont="1" applyFill="1" applyBorder="1" applyAlignment="1">
      <alignment horizontal="center" vertical="center" wrapText="1"/>
    </xf>
    <xf numFmtId="0" fontId="25" fillId="17" borderId="22" xfId="0" applyFont="1" applyFill="1" applyBorder="1" applyAlignment="1">
      <alignment horizontal="left" vertical="center" wrapText="1"/>
    </xf>
    <xf numFmtId="49" fontId="36" fillId="17" borderId="20" xfId="0" applyNumberFormat="1" applyFont="1" applyFill="1" applyBorder="1" applyAlignment="1">
      <alignment horizontal="left" vertical="top" wrapText="1"/>
    </xf>
    <xf numFmtId="14" fontId="36" fillId="17" borderId="23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0" fillId="0" borderId="0" xfId="0" applyAlignment="1">
      <alignment vertical="center"/>
    </xf>
    <xf numFmtId="0" fontId="3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0" fillId="17" borderId="0" xfId="0" applyFont="1" applyFill="1"/>
    <xf numFmtId="0" fontId="36" fillId="17" borderId="0" xfId="0" applyFont="1" applyFill="1"/>
    <xf numFmtId="0" fontId="36" fillId="0" borderId="0" xfId="0" applyFont="1" applyFill="1" applyBorder="1" applyAlignment="1">
      <alignment horizontal="right" vertical="center" wrapText="1"/>
    </xf>
    <xf numFmtId="0" fontId="36" fillId="0" borderId="0" xfId="0" applyFont="1" applyFill="1" applyBorder="1" applyAlignment="1">
      <alignment vertical="center"/>
    </xf>
    <xf numFmtId="0" fontId="46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6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5" fillId="17" borderId="27" xfId="0" applyFont="1" applyFill="1" applyBorder="1" applyAlignment="1">
      <alignment horizontal="left" vertical="top"/>
    </xf>
    <xf numFmtId="0" fontId="36" fillId="2" borderId="0" xfId="0" applyFont="1" applyFill="1" applyBorder="1"/>
    <xf numFmtId="0" fontId="0" fillId="2" borderId="0" xfId="0" applyFill="1" applyBorder="1"/>
    <xf numFmtId="0" fontId="36" fillId="2" borderId="29" xfId="0" applyFont="1" applyFill="1" applyBorder="1"/>
    <xf numFmtId="0" fontId="0" fillId="2" borderId="29" xfId="0" applyFill="1" applyBorder="1"/>
    <xf numFmtId="0" fontId="36" fillId="2" borderId="46" xfId="0" applyFont="1" applyFill="1" applyBorder="1"/>
    <xf numFmtId="0" fontId="0" fillId="2" borderId="40" xfId="0" applyFill="1" applyBorder="1"/>
    <xf numFmtId="0" fontId="0" fillId="2" borderId="47" xfId="0" applyFill="1" applyBorder="1"/>
    <xf numFmtId="0" fontId="35" fillId="2" borderId="27" xfId="0" applyFont="1" applyFill="1" applyBorder="1"/>
    <xf numFmtId="0" fontId="36" fillId="17" borderId="29" xfId="0" applyFont="1" applyFill="1" applyBorder="1" applyAlignment="1">
      <alignment horizontal="left" vertical="center" wrapText="1"/>
    </xf>
    <xf numFmtId="0" fontId="0" fillId="17" borderId="29" xfId="0" applyFill="1" applyBorder="1" applyAlignment="1">
      <alignment wrapText="1"/>
    </xf>
    <xf numFmtId="0" fontId="0" fillId="17" borderId="40" xfId="0" applyFill="1" applyBorder="1" applyAlignment="1">
      <alignment wrapText="1"/>
    </xf>
    <xf numFmtId="0" fontId="36" fillId="17" borderId="0" xfId="0" applyFont="1" applyFill="1" applyBorder="1" applyAlignment="1">
      <alignment horizontal="left" vertical="center" wrapText="1"/>
    </xf>
    <xf numFmtId="0" fontId="0" fillId="17" borderId="0" xfId="0" applyFill="1" applyBorder="1" applyAlignment="1">
      <alignment wrapText="1"/>
    </xf>
    <xf numFmtId="0" fontId="0" fillId="17" borderId="47" xfId="0" applyFill="1" applyBorder="1" applyAlignment="1">
      <alignment wrapText="1"/>
    </xf>
    <xf numFmtId="0" fontId="36" fillId="17" borderId="1" xfId="0" applyFont="1" applyFill="1" applyBorder="1" applyAlignment="1">
      <alignment horizontal="left" vertical="center" wrapText="1"/>
    </xf>
    <xf numFmtId="0" fontId="0" fillId="17" borderId="1" xfId="0" applyFill="1" applyBorder="1" applyAlignment="1">
      <alignment wrapText="1"/>
    </xf>
    <xf numFmtId="0" fontId="0" fillId="17" borderId="2" xfId="0" applyFill="1" applyBorder="1" applyAlignment="1">
      <alignment wrapText="1"/>
    </xf>
    <xf numFmtId="49" fontId="36" fillId="2" borderId="46" xfId="0" applyNumberFormat="1" applyFont="1" applyFill="1" applyBorder="1" applyAlignment="1">
      <alignment horizontal="left" vertical="top" wrapText="1"/>
    </xf>
    <xf numFmtId="49" fontId="36" fillId="2" borderId="0" xfId="0" applyNumberFormat="1" applyFont="1" applyFill="1" applyBorder="1" applyAlignment="1">
      <alignment wrapText="1"/>
    </xf>
    <xf numFmtId="49" fontId="0" fillId="2" borderId="0" xfId="0" applyNumberFormat="1" applyFont="1" applyFill="1" applyBorder="1" applyAlignment="1">
      <alignment wrapText="1"/>
    </xf>
    <xf numFmtId="49" fontId="0" fillId="2" borderId="47" xfId="0" applyNumberFormat="1" applyFont="1" applyFill="1" applyBorder="1" applyAlignment="1">
      <alignment wrapText="1"/>
    </xf>
    <xf numFmtId="0" fontId="0" fillId="2" borderId="46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47" xfId="0" applyFont="1" applyFill="1" applyBorder="1" applyAlignment="1">
      <alignment wrapText="1"/>
    </xf>
    <xf numFmtId="49" fontId="36" fillId="0" borderId="0" xfId="0" applyNumberFormat="1" applyFont="1" applyAlignment="1">
      <alignment wrapText="1"/>
    </xf>
    <xf numFmtId="0" fontId="36" fillId="0" borderId="0" xfId="0" applyFont="1" applyAlignment="1">
      <alignment wrapText="1"/>
    </xf>
    <xf numFmtId="0" fontId="0" fillId="2" borderId="0" xfId="0" applyFill="1" applyBorder="1" applyAlignment="1">
      <alignment wrapText="1"/>
    </xf>
    <xf numFmtId="0" fontId="0" fillId="2" borderId="47" xfId="0" applyFill="1" applyBorder="1" applyAlignment="1">
      <alignment wrapText="1"/>
    </xf>
    <xf numFmtId="0" fontId="0" fillId="2" borderId="46" xfId="0" applyFill="1" applyBorder="1" applyAlignment="1">
      <alignment wrapText="1"/>
    </xf>
    <xf numFmtId="0" fontId="36" fillId="2" borderId="46" xfId="0" applyFont="1" applyFill="1" applyBorder="1" applyAlignment="1">
      <alignment horizontal="left" vertical="top" wrapText="1"/>
    </xf>
    <xf numFmtId="0" fontId="36" fillId="2" borderId="0" xfId="0" applyFont="1" applyFill="1" applyBorder="1" applyAlignment="1">
      <alignment horizontal="left" vertical="top" wrapText="1"/>
    </xf>
    <xf numFmtId="0" fontId="36" fillId="2" borderId="47" xfId="0" applyFont="1" applyFill="1" applyBorder="1" applyAlignment="1">
      <alignment horizontal="left" vertical="top" wrapText="1"/>
    </xf>
    <xf numFmtId="0" fontId="36" fillId="2" borderId="32" xfId="0" applyFont="1" applyFill="1" applyBorder="1" applyAlignment="1">
      <alignment horizontal="left" vertical="top" wrapText="1"/>
    </xf>
    <xf numFmtId="0" fontId="36" fillId="2" borderId="1" xfId="0" applyFont="1" applyFill="1" applyBorder="1" applyAlignment="1">
      <alignment horizontal="left" vertical="top" wrapText="1"/>
    </xf>
    <xf numFmtId="0" fontId="36" fillId="2" borderId="2" xfId="0" applyFont="1" applyFill="1" applyBorder="1" applyAlignment="1">
      <alignment horizontal="left" vertical="top" wrapText="1"/>
    </xf>
    <xf numFmtId="0" fontId="29" fillId="0" borderId="9" xfId="89" applyFont="1" applyBorder="1" applyAlignment="1">
      <alignment horizontal="center" vertical="center"/>
    </xf>
    <xf numFmtId="0" fontId="29" fillId="0" borderId="3" xfId="89" applyFont="1" applyBorder="1" applyAlignment="1">
      <alignment horizontal="center" vertical="center"/>
    </xf>
    <xf numFmtId="0" fontId="29" fillId="0" borderId="6" xfId="89" applyFont="1" applyBorder="1" applyAlignment="1">
      <alignment horizontal="center" vertical="center"/>
    </xf>
    <xf numFmtId="0" fontId="29" fillId="0" borderId="13" xfId="89" applyFont="1" applyBorder="1" applyAlignment="1">
      <alignment horizontal="center" vertical="center"/>
    </xf>
    <xf numFmtId="0" fontId="29" fillId="0" borderId="14" xfId="89" applyFont="1" applyBorder="1" applyAlignment="1">
      <alignment horizontal="center" vertical="center"/>
    </xf>
    <xf numFmtId="49" fontId="25" fillId="0" borderId="0" xfId="89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5" fillId="0" borderId="0" xfId="89" applyFont="1" applyAlignment="1">
      <alignment horizontal="right" vertical="center" wrapText="1"/>
    </xf>
    <xf numFmtId="0" fontId="0" fillId="0" borderId="0" xfId="0" applyAlignment="1">
      <alignment vertical="center" wrapText="1"/>
    </xf>
    <xf numFmtId="49" fontId="36" fillId="2" borderId="0" xfId="0" applyNumberFormat="1" applyFont="1" applyFill="1" applyAlignment="1">
      <alignment horizontal="left" vertical="center" wrapText="1"/>
    </xf>
    <xf numFmtId="0" fontId="36" fillId="0" borderId="22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53" xfId="0" applyFont="1" applyBorder="1" applyAlignment="1">
      <alignment horizontal="center"/>
    </xf>
    <xf numFmtId="0" fontId="36" fillId="0" borderId="30" xfId="0" applyFont="1" applyBorder="1" applyAlignment="1">
      <alignment horizontal="center"/>
    </xf>
    <xf numFmtId="0" fontId="36" fillId="0" borderId="53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49" fontId="41" fillId="2" borderId="0" xfId="0" applyNumberFormat="1" applyFont="1" applyFill="1" applyAlignment="1">
      <alignment horizontal="left" vertical="center" wrapText="1"/>
    </xf>
  </cellXfs>
  <cellStyles count="90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Standard" xfId="0" builtinId="0"/>
    <cellStyle name="Standard 2" xfId="89" xr:uid="{456D489F-5153-4CEB-AC03-CE62E4129562}"/>
  </cellStyles>
  <dxfs count="0"/>
  <tableStyles count="0" defaultTableStyle="TableStyleMedium9" defaultPivotStyle="PivotStyleMedium4"/>
  <colors>
    <mruColors>
      <color rgb="FF3333CC"/>
      <color rgb="FFFFC979"/>
      <color rgb="FFFFE7E7"/>
      <color rgb="FFFFFF99"/>
      <color rgb="FFECFFCD"/>
      <color rgb="FFFFE1E1"/>
      <color rgb="FFCC3300"/>
      <color rgb="FFEFC8C8"/>
      <color rgb="FFFFFF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Design">
  <a:themeElements>
    <a:clrScheme name="UmweltBank">
      <a:dk1>
        <a:srgbClr val="3C3B3A"/>
      </a:dk1>
      <a:lt1>
        <a:sysClr val="window" lastClr="FFFFFF"/>
      </a:lt1>
      <a:dk2>
        <a:srgbClr val="005922"/>
      </a:dk2>
      <a:lt2>
        <a:srgbClr val="00963F"/>
      </a:lt2>
      <a:accent1>
        <a:srgbClr val="3C3B3A"/>
      </a:accent1>
      <a:accent2>
        <a:srgbClr val="EF7C00"/>
      </a:accent2>
      <a:accent3>
        <a:srgbClr val="94C11C"/>
      </a:accent3>
      <a:accent4>
        <a:srgbClr val="831D81"/>
      </a:accent4>
      <a:accent5>
        <a:srgbClr val="00C4FF"/>
      </a:accent5>
      <a:accent6>
        <a:srgbClr val="940000"/>
      </a:accent6>
      <a:hlink>
        <a:srgbClr val="75FF82"/>
      </a:hlink>
      <a:folHlink>
        <a:srgbClr val="F087B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1DDB8-72B1-49DA-981E-AC8603C97F9F}">
  <dimension ref="A1:Q48"/>
  <sheetViews>
    <sheetView tabSelected="1" zoomScaleNormal="100" workbookViewId="0">
      <selection activeCell="I13" sqref="I13:N20"/>
    </sheetView>
  </sheetViews>
  <sheetFormatPr baseColWidth="10" defaultRowHeight="15.75" x14ac:dyDescent="0.25"/>
  <cols>
    <col min="3" max="3" width="13" customWidth="1"/>
    <col min="4" max="4" width="14.25" customWidth="1"/>
    <col min="5" max="5" width="17.25" customWidth="1"/>
    <col min="6" max="6" width="14.375" customWidth="1"/>
    <col min="7" max="7" width="14.625" customWidth="1"/>
    <col min="11" max="11" width="17.25" customWidth="1"/>
    <col min="14" max="14" width="8.75" customWidth="1"/>
  </cols>
  <sheetData>
    <row r="1" spans="1:17" s="119" customFormat="1" ht="21" x14ac:dyDescent="0.3">
      <c r="A1" s="319" t="s">
        <v>643</v>
      </c>
      <c r="B1" s="117"/>
      <c r="C1" s="117"/>
      <c r="D1" s="118"/>
      <c r="E1" s="118"/>
      <c r="F1" s="246"/>
    </row>
    <row r="2" spans="1:17" s="119" customFormat="1" ht="18.75" x14ac:dyDescent="0.3">
      <c r="A2" s="487"/>
      <c r="B2" s="117"/>
      <c r="C2" s="117"/>
      <c r="D2" s="118"/>
      <c r="E2" s="118"/>
    </row>
    <row r="3" spans="1:17" s="120" customFormat="1" ht="30" customHeight="1" x14ac:dyDescent="0.3">
      <c r="A3" s="488" t="s">
        <v>455</v>
      </c>
      <c r="B3" s="497" t="s">
        <v>830</v>
      </c>
      <c r="C3" s="498"/>
      <c r="D3" s="498"/>
      <c r="E3" s="498"/>
      <c r="F3" s="498"/>
      <c r="G3" s="498"/>
      <c r="H3" s="498"/>
      <c r="I3" s="498"/>
      <c r="J3" s="498"/>
      <c r="K3" s="499"/>
    </row>
    <row r="4" spans="1:17" s="120" customFormat="1" ht="18.75" x14ac:dyDescent="0.3">
      <c r="A4" s="466"/>
      <c r="B4" s="500" t="s">
        <v>783</v>
      </c>
      <c r="C4" s="501"/>
      <c r="D4" s="501"/>
      <c r="E4" s="501"/>
      <c r="F4" s="501"/>
      <c r="G4" s="501"/>
      <c r="H4" s="501"/>
      <c r="I4" s="501"/>
      <c r="J4" s="501"/>
      <c r="K4" s="502"/>
    </row>
    <row r="5" spans="1:17" s="377" customFormat="1" ht="18.75" x14ac:dyDescent="0.3">
      <c r="A5" s="466"/>
      <c r="B5" s="500" t="s">
        <v>784</v>
      </c>
      <c r="C5" s="501"/>
      <c r="D5" s="501"/>
      <c r="E5" s="501"/>
      <c r="F5" s="501"/>
      <c r="G5" s="501"/>
      <c r="H5" s="501"/>
      <c r="I5" s="501"/>
      <c r="J5" s="501"/>
      <c r="K5" s="502"/>
    </row>
    <row r="6" spans="1:17" s="377" customFormat="1" ht="33.75" customHeight="1" x14ac:dyDescent="0.3">
      <c r="A6" s="467"/>
      <c r="B6" s="503" t="s">
        <v>785</v>
      </c>
      <c r="C6" s="504"/>
      <c r="D6" s="504"/>
      <c r="E6" s="504"/>
      <c r="F6" s="504"/>
      <c r="G6" s="504"/>
      <c r="H6" s="504"/>
      <c r="I6" s="504"/>
      <c r="J6" s="504"/>
      <c r="K6" s="505"/>
    </row>
    <row r="7" spans="1:17" x14ac:dyDescent="0.25">
      <c r="A7" s="211"/>
      <c r="B7" s="318"/>
      <c r="C7" s="30"/>
      <c r="D7" s="30"/>
      <c r="E7" s="30"/>
    </row>
    <row r="8" spans="1:17" x14ac:dyDescent="0.25">
      <c r="B8" s="29"/>
      <c r="C8" s="30"/>
      <c r="D8" s="30"/>
      <c r="E8" s="30"/>
    </row>
    <row r="9" spans="1:17" ht="16.5" thickBot="1" x14ac:dyDescent="0.3">
      <c r="B9" s="212"/>
      <c r="C9" s="213"/>
      <c r="D9" s="213"/>
      <c r="E9" s="213"/>
      <c r="F9" s="211"/>
      <c r="G9" s="211"/>
      <c r="H9" s="211"/>
      <c r="I9" s="513"/>
      <c r="J9" s="514"/>
      <c r="K9" s="514"/>
      <c r="L9" s="514"/>
    </row>
    <row r="10" spans="1:17" ht="16.5" thickBot="1" x14ac:dyDescent="0.3">
      <c r="B10" s="211"/>
      <c r="C10" s="211"/>
      <c r="D10" s="211"/>
      <c r="E10" s="214" t="s">
        <v>392</v>
      </c>
      <c r="F10" s="215">
        <f>4%</f>
        <v>0.04</v>
      </c>
      <c r="G10" s="211"/>
      <c r="H10" s="211"/>
      <c r="I10" s="211"/>
      <c r="J10" s="211"/>
      <c r="K10" s="211"/>
      <c r="L10" s="211"/>
    </row>
    <row r="11" spans="1:17" x14ac:dyDescent="0.25">
      <c r="B11" s="211"/>
      <c r="C11" s="211"/>
      <c r="D11" s="211"/>
      <c r="E11" s="216" t="s">
        <v>434</v>
      </c>
      <c r="F11" s="217">
        <v>25</v>
      </c>
      <c r="G11" s="211"/>
      <c r="H11" s="211"/>
      <c r="I11" s="211"/>
      <c r="J11" s="211"/>
      <c r="K11" s="211"/>
      <c r="L11" s="211"/>
    </row>
    <row r="12" spans="1:17" ht="16.5" thickBot="1" x14ac:dyDescent="0.3">
      <c r="B12" s="211"/>
      <c r="C12" s="211"/>
      <c r="D12" s="211"/>
      <c r="E12" s="211"/>
      <c r="F12" s="513"/>
      <c r="G12" s="513"/>
      <c r="H12" s="211"/>
      <c r="I12" s="496" t="s">
        <v>831</v>
      </c>
      <c r="J12" s="491"/>
      <c r="K12" s="491"/>
      <c r="L12" s="491"/>
      <c r="M12" s="492"/>
      <c r="N12" s="494"/>
    </row>
    <row r="13" spans="1:17" s="33" customFormat="1" ht="78.75" customHeight="1" x14ac:dyDescent="0.25">
      <c r="B13" s="378" t="s">
        <v>389</v>
      </c>
      <c r="C13" s="379" t="s">
        <v>458</v>
      </c>
      <c r="D13" s="379" t="s">
        <v>459</v>
      </c>
      <c r="E13" s="379" t="s">
        <v>460</v>
      </c>
      <c r="F13" s="379" t="s">
        <v>390</v>
      </c>
      <c r="G13" s="380" t="s">
        <v>461</v>
      </c>
      <c r="H13" s="211"/>
      <c r="I13" s="506" t="s">
        <v>835</v>
      </c>
      <c r="J13" s="507"/>
      <c r="K13" s="507"/>
      <c r="L13" s="508"/>
      <c r="M13" s="508"/>
      <c r="N13" s="509"/>
      <c r="O13"/>
      <c r="P13"/>
      <c r="Q13"/>
    </row>
    <row r="14" spans="1:17" x14ac:dyDescent="0.25">
      <c r="B14" s="381">
        <v>0</v>
      </c>
      <c r="C14" s="218">
        <f>'Obst-AFS'!F57</f>
        <v>0</v>
      </c>
      <c r="D14" s="218">
        <f>'Obst-AFS'!E57</f>
        <v>5892.6434733893566</v>
      </c>
      <c r="E14" s="218">
        <f>C14-D14</f>
        <v>-5892.6434733893566</v>
      </c>
      <c r="F14" s="219">
        <f>1/(1+$F$10)^B14</f>
        <v>1</v>
      </c>
      <c r="G14" s="382">
        <f>E14*F14</f>
        <v>-5892.6434733893566</v>
      </c>
      <c r="H14" s="211"/>
      <c r="I14" s="510"/>
      <c r="J14" s="511"/>
      <c r="K14" s="511"/>
      <c r="L14" s="511"/>
      <c r="M14" s="511"/>
      <c r="N14" s="512"/>
    </row>
    <row r="15" spans="1:17" ht="15.75" customHeight="1" x14ac:dyDescent="0.25">
      <c r="B15" s="383">
        <v>1</v>
      </c>
      <c r="C15" s="220">
        <f>'Obst-AFS'!F73</f>
        <v>0</v>
      </c>
      <c r="D15" s="220">
        <f>'Obst-AFS'!E73</f>
        <v>1861.6578067226892</v>
      </c>
      <c r="E15" s="220">
        <f t="shared" ref="E15:E39" si="0">C15-D15</f>
        <v>-1861.6578067226892</v>
      </c>
      <c r="F15" s="221">
        <f t="shared" ref="F15:F39" si="1">1/(1+$F$10)^B15</f>
        <v>0.96153846153846145</v>
      </c>
      <c r="G15" s="384">
        <f t="shared" ref="G15:G39" si="2">E15*F15</f>
        <v>-1790.0555833872011</v>
      </c>
      <c r="H15" s="211"/>
      <c r="I15" s="510"/>
      <c r="J15" s="511"/>
      <c r="K15" s="511"/>
      <c r="L15" s="511"/>
      <c r="M15" s="511"/>
      <c r="N15" s="512"/>
    </row>
    <row r="16" spans="1:17" x14ac:dyDescent="0.25">
      <c r="B16" s="381">
        <v>2</v>
      </c>
      <c r="C16" s="218">
        <f>'Obst-AFS'!F80</f>
        <v>0</v>
      </c>
      <c r="D16" s="218">
        <f>'Obst-AFS'!E80</f>
        <v>767.29500000000007</v>
      </c>
      <c r="E16" s="218">
        <f t="shared" si="0"/>
        <v>-767.29500000000007</v>
      </c>
      <c r="F16" s="219">
        <f t="shared" si="1"/>
        <v>0.92455621301775137</v>
      </c>
      <c r="G16" s="382">
        <f t="shared" si="2"/>
        <v>-709.40735946745565</v>
      </c>
      <c r="H16" s="211"/>
      <c r="I16" s="510"/>
      <c r="J16" s="511"/>
      <c r="K16" s="511"/>
      <c r="L16" s="511"/>
      <c r="M16" s="511"/>
      <c r="N16" s="512"/>
    </row>
    <row r="17" spans="2:14" x14ac:dyDescent="0.25">
      <c r="B17" s="383">
        <v>3</v>
      </c>
      <c r="C17" s="220">
        <f>'Obst-AFS'!F92</f>
        <v>576.95985599999995</v>
      </c>
      <c r="D17" s="220">
        <f>'Obst-AFS'!E92</f>
        <v>1263.2725767040001</v>
      </c>
      <c r="E17" s="220">
        <f t="shared" si="0"/>
        <v>-686.31272070400018</v>
      </c>
      <c r="F17" s="221">
        <f t="shared" si="1"/>
        <v>0.88899635867091487</v>
      </c>
      <c r="G17" s="384">
        <f t="shared" si="2"/>
        <v>-610.12950961538479</v>
      </c>
      <c r="H17" s="211"/>
      <c r="I17" s="510"/>
      <c r="J17" s="511"/>
      <c r="K17" s="511"/>
      <c r="L17" s="511"/>
      <c r="M17" s="511"/>
      <c r="N17" s="512"/>
    </row>
    <row r="18" spans="2:14" x14ac:dyDescent="0.25">
      <c r="B18" s="385">
        <v>4</v>
      </c>
      <c r="C18" s="223">
        <f>'Obst-AFS'!F98</f>
        <v>594.26865167999995</v>
      </c>
      <c r="D18" s="223">
        <f>'Obst-AFS'!E98</f>
        <v>1549.7863166980801</v>
      </c>
      <c r="E18" s="223">
        <f t="shared" si="0"/>
        <v>-955.51766501808015</v>
      </c>
      <c r="F18" s="224">
        <f t="shared" si="1"/>
        <v>0.85480419102972571</v>
      </c>
      <c r="G18" s="386">
        <f t="shared" si="2"/>
        <v>-816.78050466039247</v>
      </c>
      <c r="H18" s="211"/>
      <c r="I18" s="510"/>
      <c r="J18" s="511"/>
      <c r="K18" s="511"/>
      <c r="L18" s="511"/>
      <c r="M18" s="511"/>
      <c r="N18" s="512"/>
    </row>
    <row r="19" spans="2:14" x14ac:dyDescent="0.25">
      <c r="B19" s="383">
        <v>5</v>
      </c>
      <c r="C19" s="220">
        <f>'Obst-AFS'!F109</f>
        <v>1998.3798347598256</v>
      </c>
      <c r="D19" s="220">
        <f>'Obst-AFS'!E109</f>
        <v>2639.7254527231971</v>
      </c>
      <c r="E19" s="220">
        <f t="shared" si="0"/>
        <v>-641.34561796337152</v>
      </c>
      <c r="F19" s="221">
        <f t="shared" si="1"/>
        <v>0.82192710675935154</v>
      </c>
      <c r="G19" s="384">
        <f t="shared" si="2"/>
        <v>-527.13934820542238</v>
      </c>
      <c r="H19" s="211"/>
      <c r="I19" s="510"/>
      <c r="J19" s="511"/>
      <c r="K19" s="511"/>
      <c r="L19" s="511"/>
      <c r="M19" s="511"/>
      <c r="N19" s="512"/>
    </row>
    <row r="20" spans="2:14" x14ac:dyDescent="0.25">
      <c r="B20" s="385">
        <v>6</v>
      </c>
      <c r="C20" s="223">
        <f>'Obst-AFS'!F120</f>
        <v>2058.3312298026203</v>
      </c>
      <c r="D20" s="223">
        <f>'Obst-AFS'!E120</f>
        <v>2042.5759617776607</v>
      </c>
      <c r="E20" s="223">
        <f t="shared" si="0"/>
        <v>15.755268024959605</v>
      </c>
      <c r="F20" s="224">
        <f t="shared" si="1"/>
        <v>0.79031452573014571</v>
      </c>
      <c r="G20" s="386">
        <f t="shared" si="2"/>
        <v>12.45161717689728</v>
      </c>
      <c r="H20" s="211"/>
      <c r="I20" s="510"/>
      <c r="J20" s="511"/>
      <c r="K20" s="511"/>
      <c r="L20" s="511"/>
      <c r="M20" s="511"/>
      <c r="N20" s="512"/>
    </row>
    <row r="21" spans="2:14" x14ac:dyDescent="0.25">
      <c r="B21" s="383">
        <v>7</v>
      </c>
      <c r="C21" s="220">
        <f>'Obst-AFS'!F130</f>
        <v>3143.9265621855952</v>
      </c>
      <c r="D21" s="220">
        <f>'Obst-AFS'!E130</f>
        <v>2068.1672838133463</v>
      </c>
      <c r="E21" s="220">
        <f t="shared" si="0"/>
        <v>1075.7592783722489</v>
      </c>
      <c r="F21" s="221">
        <f t="shared" si="1"/>
        <v>0.75991781320206331</v>
      </c>
      <c r="G21" s="384">
        <f t="shared" si="2"/>
        <v>817.48863835246902</v>
      </c>
      <c r="H21" s="211"/>
      <c r="I21" s="493"/>
      <c r="J21" s="489"/>
      <c r="K21" s="489"/>
      <c r="L21" s="489"/>
      <c r="M21" s="490"/>
      <c r="N21" s="495"/>
    </row>
    <row r="22" spans="2:14" x14ac:dyDescent="0.25">
      <c r="B22" s="385">
        <v>8</v>
      </c>
      <c r="C22" s="223">
        <f>'Obst-AFS'!F140</f>
        <v>3238.244359051163</v>
      </c>
      <c r="D22" s="223">
        <f>'Obst-AFS'!E140</f>
        <v>2109.5306294896136</v>
      </c>
      <c r="E22" s="223">
        <f t="shared" si="0"/>
        <v>1128.7137295615494</v>
      </c>
      <c r="F22" s="224">
        <f t="shared" si="1"/>
        <v>0.73069020500198378</v>
      </c>
      <c r="G22" s="386">
        <f t="shared" si="2"/>
        <v>824.74006644188216</v>
      </c>
      <c r="H22" s="211"/>
      <c r="I22" s="506" t="s">
        <v>834</v>
      </c>
      <c r="J22" s="507"/>
      <c r="K22" s="507"/>
      <c r="L22" s="515"/>
      <c r="M22" s="515"/>
      <c r="N22" s="516"/>
    </row>
    <row r="23" spans="2:14" x14ac:dyDescent="0.25">
      <c r="B23" s="387">
        <v>9</v>
      </c>
      <c r="C23" s="225">
        <f>'Obst-AFS'!F150</f>
        <v>3335.3916898226976</v>
      </c>
      <c r="D23" s="225">
        <f>'Obst-AFS'!E150</f>
        <v>2205.6039167593872</v>
      </c>
      <c r="E23" s="225">
        <f t="shared" si="0"/>
        <v>1129.7877730633104</v>
      </c>
      <c r="F23" s="226">
        <f t="shared" si="1"/>
        <v>0.70258673557883045</v>
      </c>
      <c r="G23" s="388">
        <f t="shared" si="2"/>
        <v>793.77390337342774</v>
      </c>
      <c r="H23" s="211"/>
      <c r="I23" s="517"/>
      <c r="J23" s="515"/>
      <c r="K23" s="515"/>
      <c r="L23" s="515"/>
      <c r="M23" s="515"/>
      <c r="N23" s="516"/>
    </row>
    <row r="24" spans="2:14" x14ac:dyDescent="0.25">
      <c r="B24" s="389">
        <v>10</v>
      </c>
      <c r="C24" s="227">
        <f>'Obst-AFS'!F160</f>
        <v>3435.4534405173786</v>
      </c>
      <c r="D24" s="227">
        <f>'Obst-AFS'!E160</f>
        <v>2194.7556669209939</v>
      </c>
      <c r="E24" s="227">
        <f t="shared" si="0"/>
        <v>1240.6977735963846</v>
      </c>
      <c r="F24" s="228">
        <f t="shared" si="1"/>
        <v>0.67556416882579851</v>
      </c>
      <c r="G24" s="390">
        <f t="shared" si="2"/>
        <v>838.17096018366033</v>
      </c>
      <c r="H24" s="211"/>
      <c r="I24" s="517"/>
      <c r="J24" s="515"/>
      <c r="K24" s="515"/>
      <c r="L24" s="515"/>
      <c r="M24" s="515"/>
      <c r="N24" s="516"/>
    </row>
    <row r="25" spans="2:14" x14ac:dyDescent="0.25">
      <c r="B25" s="387">
        <v>11</v>
      </c>
      <c r="C25" s="225">
        <f>'Obst-AFS'!F172</f>
        <v>6090.3244997360007</v>
      </c>
      <c r="D25" s="225">
        <f>'Obst-AFS'!E172</f>
        <v>4396.4664197119146</v>
      </c>
      <c r="E25" s="225">
        <f t="shared" si="0"/>
        <v>1693.8580800240861</v>
      </c>
      <c r="F25" s="226">
        <f t="shared" si="1"/>
        <v>0.6495809315632679</v>
      </c>
      <c r="G25" s="388">
        <f t="shared" si="2"/>
        <v>1100.2979095580142</v>
      </c>
      <c r="H25" s="211"/>
      <c r="I25" s="493"/>
      <c r="J25" s="489"/>
      <c r="K25" s="489"/>
      <c r="L25" s="489"/>
      <c r="M25" s="490"/>
      <c r="N25" s="495"/>
    </row>
    <row r="26" spans="2:14" x14ac:dyDescent="0.25">
      <c r="B26" s="389">
        <v>12</v>
      </c>
      <c r="C26" s="227">
        <f>'Obst-AFS'!F183</f>
        <v>6273.0342347280803</v>
      </c>
      <c r="D26" s="227">
        <f>'Obst-AFS'!E183</f>
        <v>2830.5442445258341</v>
      </c>
      <c r="E26" s="227">
        <f t="shared" si="0"/>
        <v>3442.4899902022462</v>
      </c>
      <c r="F26" s="228">
        <f t="shared" si="1"/>
        <v>0.62459704958006512</v>
      </c>
      <c r="G26" s="390">
        <f t="shared" si="2"/>
        <v>2150.1690910892303</v>
      </c>
      <c r="H26" s="211"/>
      <c r="I26" s="518" t="s">
        <v>833</v>
      </c>
      <c r="J26" s="519"/>
      <c r="K26" s="519"/>
      <c r="L26" s="519"/>
      <c r="M26" s="515"/>
      <c r="N26" s="516"/>
    </row>
    <row r="27" spans="2:14" x14ac:dyDescent="0.25">
      <c r="B27" s="387">
        <v>13</v>
      </c>
      <c r="C27" s="225">
        <f>'Obst-AFS'!F194</f>
        <v>6461.2252617699223</v>
      </c>
      <c r="D27" s="225">
        <f>'Obst-AFS'!E194</f>
        <v>2886.9426294163504</v>
      </c>
      <c r="E27" s="225">
        <f t="shared" si="0"/>
        <v>3574.2826323535719</v>
      </c>
      <c r="F27" s="226">
        <f t="shared" si="1"/>
        <v>0.600574086134678</v>
      </c>
      <c r="G27" s="388">
        <f t="shared" si="2"/>
        <v>2146.6215255127977</v>
      </c>
      <c r="H27" s="211"/>
      <c r="I27" s="517"/>
      <c r="J27" s="515"/>
      <c r="K27" s="515"/>
      <c r="L27" s="515"/>
      <c r="M27" s="515"/>
      <c r="N27" s="516"/>
    </row>
    <row r="28" spans="2:14" x14ac:dyDescent="0.25">
      <c r="B28" s="389">
        <v>14</v>
      </c>
      <c r="C28" s="227">
        <f>'Obst-AFS'!F205</f>
        <v>6655.0620196230202</v>
      </c>
      <c r="D28" s="227">
        <f>'Obst-AFS'!E205</f>
        <v>2944.4689820046779</v>
      </c>
      <c r="E28" s="227">
        <f t="shared" si="0"/>
        <v>3710.5930376183424</v>
      </c>
      <c r="F28" s="228">
        <f t="shared" si="1"/>
        <v>0.57747508282180582</v>
      </c>
      <c r="G28" s="390">
        <f t="shared" si="2"/>
        <v>2142.7750217166681</v>
      </c>
      <c r="H28" s="211"/>
      <c r="I28" s="517"/>
      <c r="J28" s="515"/>
      <c r="K28" s="515"/>
      <c r="L28" s="515"/>
      <c r="M28" s="515"/>
      <c r="N28" s="516"/>
    </row>
    <row r="29" spans="2:14" x14ac:dyDescent="0.25">
      <c r="B29" s="387">
        <v>15</v>
      </c>
      <c r="C29" s="225">
        <f>'Obst-AFS'!F216</f>
        <v>6854.7138802117124</v>
      </c>
      <c r="D29" s="225">
        <f>'Obst-AFS'!E216</f>
        <v>3003.1458616447699</v>
      </c>
      <c r="E29" s="225">
        <f t="shared" si="0"/>
        <v>3851.5680185669426</v>
      </c>
      <c r="F29" s="226">
        <f t="shared" si="1"/>
        <v>0.55526450271327477</v>
      </c>
      <c r="G29" s="388">
        <f t="shared" si="2"/>
        <v>2138.6390004959262</v>
      </c>
      <c r="H29" s="211"/>
      <c r="I29" s="493"/>
      <c r="J29" s="489"/>
      <c r="K29" s="489"/>
      <c r="L29" s="489"/>
      <c r="M29" s="490"/>
      <c r="N29" s="495"/>
    </row>
    <row r="30" spans="2:14" ht="15.75" customHeight="1" x14ac:dyDescent="0.25">
      <c r="B30" s="389">
        <v>16</v>
      </c>
      <c r="C30" s="227">
        <f>'Obst-AFS'!F227</f>
        <v>7060.3552966180614</v>
      </c>
      <c r="D30" s="227">
        <f>'Obst-AFS'!E227</f>
        <v>2736.7880757055095</v>
      </c>
      <c r="E30" s="227">
        <f t="shared" si="0"/>
        <v>4323.5672209125514</v>
      </c>
      <c r="F30" s="228">
        <f t="shared" si="1"/>
        <v>0.53390817568584104</v>
      </c>
      <c r="G30" s="390">
        <f t="shared" si="2"/>
        <v>2308.3878873725221</v>
      </c>
      <c r="H30" s="211"/>
      <c r="I30" s="518" t="s">
        <v>832</v>
      </c>
      <c r="J30" s="519"/>
      <c r="K30" s="519"/>
      <c r="L30" s="519"/>
      <c r="M30" s="519"/>
      <c r="N30" s="520"/>
    </row>
    <row r="31" spans="2:14" x14ac:dyDescent="0.25">
      <c r="B31" s="387">
        <v>17</v>
      </c>
      <c r="C31" s="225">
        <f>'Obst-AFS'!F238</f>
        <v>7272.1659555166025</v>
      </c>
      <c r="D31" s="225">
        <f>'Obst-AFS'!E238</f>
        <v>2791.3113372196203</v>
      </c>
      <c r="E31" s="225">
        <f t="shared" si="0"/>
        <v>4480.8546182969822</v>
      </c>
      <c r="F31" s="226">
        <f t="shared" si="1"/>
        <v>0.51337324585177024</v>
      </c>
      <c r="G31" s="388">
        <f t="shared" si="2"/>
        <v>2300.3508795850166</v>
      </c>
      <c r="H31" s="211"/>
      <c r="I31" s="518"/>
      <c r="J31" s="519"/>
      <c r="K31" s="519"/>
      <c r="L31" s="519"/>
      <c r="M31" s="519"/>
      <c r="N31" s="520"/>
    </row>
    <row r="32" spans="2:14" x14ac:dyDescent="0.25">
      <c r="B32" s="389">
        <v>18</v>
      </c>
      <c r="C32" s="227">
        <f>'Obst-AFS'!F249</f>
        <v>7490.3309341821014</v>
      </c>
      <c r="D32" s="227">
        <f>'Obst-AFS'!E249</f>
        <v>2846.9250639640122</v>
      </c>
      <c r="E32" s="227">
        <f t="shared" si="0"/>
        <v>4643.4058702180891</v>
      </c>
      <c r="F32" s="228">
        <f t="shared" si="1"/>
        <v>0.49362812101131748</v>
      </c>
      <c r="G32" s="390">
        <f t="shared" si="2"/>
        <v>2292.1157148086768</v>
      </c>
      <c r="H32" s="211"/>
      <c r="I32" s="518"/>
      <c r="J32" s="519"/>
      <c r="K32" s="519"/>
      <c r="L32" s="519"/>
      <c r="M32" s="519"/>
      <c r="N32" s="520"/>
    </row>
    <row r="33" spans="2:14" x14ac:dyDescent="0.25">
      <c r="B33" s="387">
        <v>19</v>
      </c>
      <c r="C33" s="225">
        <f>'Obst-AFS'!F260</f>
        <v>7715.0408622075647</v>
      </c>
      <c r="D33" s="225">
        <f>'Obst-AFS'!E260</f>
        <v>2903.6510652432921</v>
      </c>
      <c r="E33" s="225">
        <f t="shared" si="0"/>
        <v>4811.389796964273</v>
      </c>
      <c r="F33" s="226">
        <f t="shared" si="1"/>
        <v>0.47464242404934376</v>
      </c>
      <c r="G33" s="388">
        <f t="shared" si="2"/>
        <v>2283.6897162774026</v>
      </c>
      <c r="H33" s="211"/>
      <c r="I33" s="521"/>
      <c r="J33" s="522"/>
      <c r="K33" s="522"/>
      <c r="L33" s="522"/>
      <c r="M33" s="522"/>
      <c r="N33" s="523"/>
    </row>
    <row r="34" spans="2:14" x14ac:dyDescent="0.25">
      <c r="B34" s="389">
        <v>20</v>
      </c>
      <c r="C34" s="227">
        <f>'Obst-AFS'!F271</f>
        <v>7946.4920880737918</v>
      </c>
      <c r="D34" s="227">
        <f>'Obst-AFS'!E271</f>
        <v>2961.5115865481584</v>
      </c>
      <c r="E34" s="227">
        <f t="shared" si="0"/>
        <v>4984.9805015256334</v>
      </c>
      <c r="F34" s="228">
        <f t="shared" si="1"/>
        <v>0.45638694620129205</v>
      </c>
      <c r="G34" s="390">
        <f t="shared" si="2"/>
        <v>2275.080027964269</v>
      </c>
      <c r="H34" s="211"/>
      <c r="I34" s="211"/>
      <c r="J34" s="211"/>
      <c r="K34" s="211"/>
      <c r="L34" s="211"/>
    </row>
    <row r="35" spans="2:14" x14ac:dyDescent="0.25">
      <c r="B35" s="387">
        <v>21</v>
      </c>
      <c r="C35" s="225">
        <f>'Obst-AFS'!F283</f>
        <v>20477.118086309405</v>
      </c>
      <c r="D35" s="225">
        <f>'Obst-AFS'!E283</f>
        <v>13906.382976258039</v>
      </c>
      <c r="E35" s="225">
        <f t="shared" si="0"/>
        <v>6570.7351100513661</v>
      </c>
      <c r="F35" s="226">
        <f t="shared" si="1"/>
        <v>0.43883360211662686</v>
      </c>
      <c r="G35" s="388">
        <f t="shared" si="2"/>
        <v>2883.4593568980317</v>
      </c>
      <c r="H35" s="211"/>
      <c r="I35" s="211"/>
      <c r="J35" s="211"/>
      <c r="K35" s="211"/>
      <c r="L35" s="211"/>
    </row>
    <row r="36" spans="2:14" x14ac:dyDescent="0.25">
      <c r="B36" s="389">
        <v>22</v>
      </c>
      <c r="C36" s="227">
        <f>'Obst-AFS'!F294</f>
        <v>21091.431628898688</v>
      </c>
      <c r="D36" s="227">
        <f>'Obst-AFS'!E294</f>
        <v>3257.4134636192639</v>
      </c>
      <c r="E36" s="227">
        <f t="shared" si="0"/>
        <v>17834.018165279424</v>
      </c>
      <c r="F36" s="228">
        <f t="shared" si="1"/>
        <v>0.42195538665060278</v>
      </c>
      <c r="G36" s="390">
        <f t="shared" si="2"/>
        <v>7525.1600304643525</v>
      </c>
      <c r="H36" s="211"/>
      <c r="I36" s="211"/>
      <c r="J36" s="211"/>
      <c r="K36" s="211"/>
      <c r="L36" s="211"/>
    </row>
    <row r="37" spans="2:14" x14ac:dyDescent="0.25">
      <c r="B37" s="387">
        <v>23</v>
      </c>
      <c r="C37" s="225">
        <f>'Obst-AFS'!F305</f>
        <v>21724.174577765647</v>
      </c>
      <c r="D37" s="225">
        <f>'Obst-AFS'!E305</f>
        <v>3322.3618344789502</v>
      </c>
      <c r="E37" s="225">
        <f t="shared" si="0"/>
        <v>18401.812743286697</v>
      </c>
      <c r="F37" s="226">
        <f t="shared" si="1"/>
        <v>0.40572633331788732</v>
      </c>
      <c r="G37" s="388">
        <f t="shared" si="2"/>
        <v>7466.1000107360851</v>
      </c>
      <c r="H37" s="211"/>
      <c r="I37" s="211"/>
      <c r="J37" s="211"/>
      <c r="K37" s="211"/>
      <c r="L37" s="211"/>
    </row>
    <row r="38" spans="2:14" x14ac:dyDescent="0.25">
      <c r="B38" s="389">
        <v>24</v>
      </c>
      <c r="C38" s="227">
        <f>'Obst-AFS'!F316</f>
        <v>22375.899815098615</v>
      </c>
      <c r="D38" s="227">
        <f>'Obst-AFS'!E316</f>
        <v>3388.6091727558314</v>
      </c>
      <c r="E38" s="227">
        <f t="shared" si="0"/>
        <v>18987.290642342785</v>
      </c>
      <c r="F38" s="228">
        <f t="shared" si="1"/>
        <v>0.39012147434412242</v>
      </c>
      <c r="G38" s="390">
        <f t="shared" si="2"/>
        <v>7407.3498191911267</v>
      </c>
      <c r="H38" s="211"/>
      <c r="I38" s="211"/>
      <c r="J38" s="211"/>
      <c r="K38" s="211"/>
      <c r="L38" s="211"/>
    </row>
    <row r="39" spans="2:14" ht="16.5" thickBot="1" x14ac:dyDescent="0.3">
      <c r="B39" s="391">
        <v>25</v>
      </c>
      <c r="C39" s="392">
        <f>'Obst-AFS'!F327</f>
        <v>23047.176809551569</v>
      </c>
      <c r="D39" s="392">
        <f>'Obst-AFS'!E327</f>
        <v>3456.1814577982495</v>
      </c>
      <c r="E39" s="392">
        <f t="shared" si="0"/>
        <v>19590.995351753321</v>
      </c>
      <c r="F39" s="393">
        <f t="shared" si="1"/>
        <v>0.37511680225396377</v>
      </c>
      <c r="G39" s="394">
        <f t="shared" si="2"/>
        <v>7348.9115293219738</v>
      </c>
      <c r="H39" s="211"/>
      <c r="I39" s="211"/>
      <c r="J39" s="211"/>
      <c r="K39" s="211"/>
      <c r="L39" s="211"/>
    </row>
    <row r="40" spans="2:14" ht="16.5" thickBot="1" x14ac:dyDescent="0.3">
      <c r="B40" s="395" t="s">
        <v>394</v>
      </c>
      <c r="C40" s="396">
        <f>SUM(C14:C39)</f>
        <v>196915.50157411009</v>
      </c>
      <c r="D40" s="396">
        <f t="shared" ref="D40:E40" si="3">SUM(D14:D39)</f>
        <v>82227.718255892803</v>
      </c>
      <c r="E40" s="396">
        <f t="shared" si="3"/>
        <v>114687.78331821726</v>
      </c>
      <c r="F40" s="397" t="s">
        <v>391</v>
      </c>
      <c r="G40" s="398">
        <f>SUM(G14:G39)</f>
        <v>46709.576927795213</v>
      </c>
      <c r="H40" s="211"/>
      <c r="I40" s="211"/>
      <c r="J40" s="211"/>
      <c r="K40" s="211"/>
      <c r="L40" s="211"/>
    </row>
    <row r="41" spans="2:14" ht="16.5" thickBot="1" x14ac:dyDescent="0.3">
      <c r="B41" s="229"/>
      <c r="C41" s="229"/>
      <c r="D41" s="229"/>
      <c r="E41" s="229"/>
      <c r="F41" s="399" t="s">
        <v>393</v>
      </c>
      <c r="G41" s="400">
        <f>PMT($F$10,$F$11,-SUM(G14:G39))</f>
        <v>2989.9717000730657</v>
      </c>
      <c r="H41" s="211"/>
      <c r="I41" s="211"/>
      <c r="J41" s="211"/>
      <c r="K41" s="211"/>
      <c r="L41" s="211"/>
    </row>
    <row r="42" spans="2:14" x14ac:dyDescent="0.25">
      <c r="B42" s="230"/>
      <c r="C42" s="230"/>
      <c r="D42" s="211"/>
      <c r="E42" s="211"/>
      <c r="F42" s="211"/>
      <c r="G42" s="231"/>
      <c r="H42" s="211"/>
      <c r="I42" s="211"/>
      <c r="J42" s="211"/>
      <c r="K42" s="211"/>
      <c r="L42" s="211"/>
    </row>
    <row r="43" spans="2:14" ht="20.25" customHeight="1" x14ac:dyDescent="0.25">
      <c r="B43" s="212"/>
      <c r="C43" s="231"/>
      <c r="D43" s="211"/>
      <c r="E43" s="211"/>
      <c r="F43" s="211"/>
      <c r="G43" s="211"/>
      <c r="H43" s="211"/>
      <c r="I43" s="486"/>
      <c r="J43" s="486"/>
      <c r="K43" s="486"/>
      <c r="L43" s="486"/>
    </row>
    <row r="44" spans="2:14" ht="19.5" customHeight="1" x14ac:dyDescent="0.25">
      <c r="B44" s="212"/>
      <c r="C44" s="231"/>
      <c r="D44" s="211"/>
      <c r="E44" s="211"/>
      <c r="F44" s="211"/>
      <c r="G44" s="211"/>
      <c r="H44" s="211"/>
      <c r="I44" s="232"/>
      <c r="J44" s="232"/>
      <c r="K44" s="232"/>
      <c r="L44" s="232"/>
    </row>
    <row r="45" spans="2:14" ht="27.75" customHeight="1" x14ac:dyDescent="0.25">
      <c r="B45" s="212"/>
      <c r="C45" s="231"/>
      <c r="D45" s="211"/>
      <c r="E45" s="211"/>
      <c r="F45" s="211"/>
      <c r="G45" s="211"/>
      <c r="H45" s="211"/>
      <c r="I45" s="486"/>
      <c r="J45" s="486"/>
      <c r="K45" s="486"/>
      <c r="L45" s="486"/>
    </row>
    <row r="46" spans="2:14" x14ac:dyDescent="0.25">
      <c r="B46" s="212"/>
      <c r="C46" s="231"/>
      <c r="D46" s="211"/>
      <c r="E46" s="211"/>
      <c r="F46" s="211"/>
      <c r="G46" s="211"/>
      <c r="H46" s="211"/>
      <c r="I46" s="211"/>
      <c r="J46" s="211"/>
      <c r="K46" s="211"/>
      <c r="L46" s="211"/>
    </row>
    <row r="47" spans="2:14" x14ac:dyDescent="0.25">
      <c r="B47" s="29"/>
      <c r="C47" s="31"/>
    </row>
    <row r="48" spans="2:14" x14ac:dyDescent="0.25">
      <c r="C48" s="32"/>
    </row>
  </sheetData>
  <mergeCells count="10">
    <mergeCell ref="I22:N24"/>
    <mergeCell ref="I26:N28"/>
    <mergeCell ref="I30:N33"/>
    <mergeCell ref="B3:K3"/>
    <mergeCell ref="B4:K4"/>
    <mergeCell ref="B5:K5"/>
    <mergeCell ref="B6:K6"/>
    <mergeCell ref="I13:N20"/>
    <mergeCell ref="I9:L9"/>
    <mergeCell ref="F12:G12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E12C-08BE-409E-AA70-A278B68F6F3D}">
  <dimension ref="A1:V336"/>
  <sheetViews>
    <sheetView zoomScale="80" zoomScaleNormal="80" workbookViewId="0">
      <pane xSplit="1" topLeftCell="B1" activePane="topRight" state="frozen"/>
      <selection pane="topRight" activeCell="B1" sqref="B1"/>
    </sheetView>
  </sheetViews>
  <sheetFormatPr baseColWidth="10" defaultRowHeight="18.75" x14ac:dyDescent="0.25"/>
  <cols>
    <col min="1" max="1" width="7" style="54" customWidth="1"/>
    <col min="2" max="2" width="15.625" style="53" customWidth="1"/>
    <col min="3" max="3" width="15.375" style="53" customWidth="1"/>
    <col min="4" max="4" width="13.25" style="53" customWidth="1"/>
    <col min="5" max="5" width="15.125" style="54" customWidth="1"/>
    <col min="6" max="6" width="14.375" style="54" customWidth="1"/>
    <col min="7" max="7" width="17.75" style="36" customWidth="1"/>
    <col min="8" max="8" width="33" style="37" customWidth="1"/>
    <col min="9" max="9" width="12.75" style="36" customWidth="1"/>
    <col min="10" max="10" width="11.625" style="36" customWidth="1"/>
    <col min="11" max="11" width="12.125" style="36" customWidth="1"/>
    <col min="12" max="12" width="10.75" style="36" customWidth="1"/>
    <col min="13" max="13" width="13.125" style="36" customWidth="1"/>
    <col min="14" max="14" width="13" style="36" customWidth="1"/>
    <col min="15" max="15" width="19.25" style="36" customWidth="1"/>
    <col min="16" max="16" width="17.25" style="36" customWidth="1"/>
    <col min="17" max="17" width="16.75" style="36" customWidth="1"/>
    <col min="18" max="18" width="11" style="36"/>
    <col min="19" max="19" width="19" style="36" customWidth="1"/>
    <col min="20" max="20" width="40.375" style="36" customWidth="1"/>
    <col min="21" max="21" width="19.25" style="38" customWidth="1"/>
    <col min="22" max="22" width="19.25" style="140" customWidth="1"/>
    <col min="23" max="16384" width="11" style="36"/>
  </cols>
  <sheetData>
    <row r="1" spans="1:22" s="47" customFormat="1" x14ac:dyDescent="0.3">
      <c r="A1" s="54"/>
      <c r="B1" s="53"/>
      <c r="C1" s="53"/>
      <c r="D1" s="53"/>
      <c r="E1" s="127" t="s">
        <v>408</v>
      </c>
      <c r="F1" s="54"/>
      <c r="H1" s="48"/>
      <c r="K1" s="128"/>
      <c r="M1" s="128"/>
      <c r="U1" s="49"/>
      <c r="V1" s="140"/>
    </row>
    <row r="2" spans="1:22" s="34" customFormat="1" x14ac:dyDescent="0.3">
      <c r="A2" s="54"/>
      <c r="B2" s="54"/>
      <c r="C2" s="54"/>
      <c r="D2" s="54"/>
      <c r="E2" s="128" t="s">
        <v>473</v>
      </c>
      <c r="F2" s="54"/>
      <c r="H2" s="35"/>
      <c r="K2" s="247"/>
      <c r="L2" s="208"/>
      <c r="M2" s="248"/>
      <c r="N2" s="208"/>
      <c r="O2" s="208"/>
      <c r="P2" s="208"/>
      <c r="Q2" s="208"/>
      <c r="R2" s="208"/>
      <c r="S2" s="249"/>
      <c r="T2" s="208"/>
      <c r="U2" s="250"/>
      <c r="V2" s="141"/>
    </row>
    <row r="3" spans="1:22" s="34" customFormat="1" ht="12.75" customHeight="1" thickBot="1" x14ac:dyDescent="0.35">
      <c r="A3" s="54"/>
      <c r="B3" s="54"/>
      <c r="C3" s="54"/>
      <c r="D3" s="54"/>
      <c r="E3" s="54"/>
      <c r="H3" s="35"/>
      <c r="K3" s="247"/>
      <c r="L3" s="208"/>
      <c r="M3" s="251"/>
      <c r="N3" s="208"/>
      <c r="O3" s="208"/>
      <c r="P3" s="208"/>
      <c r="Q3" s="208"/>
      <c r="R3" s="249"/>
      <c r="S3" s="208"/>
      <c r="T3" s="208"/>
      <c r="U3" s="250"/>
      <c r="V3" s="141"/>
    </row>
    <row r="4" spans="1:22" s="34" customFormat="1" ht="19.5" thickBot="1" x14ac:dyDescent="0.35">
      <c r="A4" s="445"/>
      <c r="B4" s="129" t="s">
        <v>612</v>
      </c>
      <c r="C4" s="130"/>
      <c r="D4" s="130"/>
      <c r="E4" s="131"/>
      <c r="F4" s="128"/>
      <c r="G4" s="405" t="s">
        <v>416</v>
      </c>
      <c r="H4" s="404"/>
      <c r="K4" s="247"/>
      <c r="L4" s="208"/>
      <c r="M4" s="251"/>
      <c r="N4" s="208"/>
      <c r="O4" s="208"/>
      <c r="P4" s="208"/>
      <c r="Q4" s="208"/>
      <c r="R4" s="236"/>
      <c r="S4" s="208"/>
      <c r="T4" s="208"/>
      <c r="U4" s="250"/>
      <c r="V4" s="141"/>
    </row>
    <row r="5" spans="1:22" s="50" customFormat="1" ht="19.5" thickBot="1" x14ac:dyDescent="0.3">
      <c r="A5" s="445"/>
      <c r="B5" s="401" t="s">
        <v>765</v>
      </c>
      <c r="C5" s="402"/>
      <c r="D5" s="403"/>
      <c r="E5" s="131"/>
      <c r="F5" s="133"/>
      <c r="G5" s="406" t="s">
        <v>407</v>
      </c>
      <c r="H5" s="404"/>
      <c r="K5" s="247"/>
      <c r="L5" s="52"/>
      <c r="M5" s="251"/>
      <c r="N5" s="52"/>
      <c r="O5" s="52"/>
      <c r="P5" s="52"/>
      <c r="Q5" s="52"/>
      <c r="R5" s="236"/>
      <c r="S5" s="52"/>
      <c r="T5" s="52"/>
      <c r="U5" s="252"/>
      <c r="V5" s="140"/>
    </row>
    <row r="6" spans="1:22" s="50" customFormat="1" ht="20.25" customHeight="1" x14ac:dyDescent="0.25">
      <c r="A6" s="54"/>
      <c r="B6" s="54"/>
      <c r="C6" s="54"/>
      <c r="D6" s="54"/>
      <c r="E6" s="54"/>
      <c r="G6" s="132" t="s">
        <v>417</v>
      </c>
      <c r="H6" s="51"/>
      <c r="K6" s="247"/>
      <c r="L6" s="52"/>
      <c r="M6" s="248"/>
      <c r="N6" s="52"/>
      <c r="O6" s="52"/>
      <c r="P6" s="52"/>
      <c r="Q6" s="52"/>
      <c r="R6" s="52"/>
      <c r="S6" s="52"/>
      <c r="T6" s="52"/>
      <c r="U6" s="252"/>
      <c r="V6" s="140"/>
    </row>
    <row r="7" spans="1:22" s="34" customFormat="1" ht="30.75" customHeight="1" x14ac:dyDescent="0.3">
      <c r="A7" s="446"/>
      <c r="B7" s="531" t="s">
        <v>427</v>
      </c>
      <c r="C7" s="532"/>
      <c r="D7" s="97">
        <v>22</v>
      </c>
      <c r="E7" s="529" t="s">
        <v>465</v>
      </c>
      <c r="F7" s="54"/>
      <c r="G7" s="134" t="s">
        <v>418</v>
      </c>
      <c r="H7" s="35"/>
      <c r="K7" s="208"/>
      <c r="L7" s="208"/>
      <c r="M7" s="248"/>
      <c r="N7" s="208"/>
      <c r="O7" s="208"/>
      <c r="P7" s="208"/>
      <c r="Q7" s="208"/>
      <c r="R7" s="208"/>
      <c r="S7" s="208"/>
      <c r="T7" s="208"/>
      <c r="U7" s="58"/>
      <c r="V7" s="141"/>
    </row>
    <row r="8" spans="1:22" ht="40.5" customHeight="1" thickBot="1" x14ac:dyDescent="0.3">
      <c r="A8" s="446"/>
      <c r="B8" s="531" t="s">
        <v>428</v>
      </c>
      <c r="C8" s="532"/>
      <c r="D8" s="97">
        <v>13.9</v>
      </c>
      <c r="E8" s="530"/>
      <c r="K8" s="80"/>
      <c r="L8" s="81"/>
      <c r="M8" s="80"/>
      <c r="N8" s="80"/>
      <c r="O8" s="80"/>
      <c r="P8" s="81"/>
      <c r="Q8" s="81"/>
      <c r="R8" s="81"/>
      <c r="S8" s="81"/>
      <c r="U8" s="114"/>
      <c r="V8" s="142"/>
    </row>
    <row r="9" spans="1:22" ht="19.5" thickBot="1" x14ac:dyDescent="0.3">
      <c r="J9" s="524" t="s">
        <v>395</v>
      </c>
      <c r="K9" s="525"/>
      <c r="L9" s="525"/>
      <c r="M9" s="525"/>
      <c r="N9" s="525"/>
      <c r="O9" s="526"/>
      <c r="P9" s="136"/>
      <c r="Q9" s="527" t="s">
        <v>396</v>
      </c>
      <c r="R9" s="528"/>
      <c r="S9" s="528"/>
    </row>
    <row r="10" spans="1:22" s="39" customFormat="1" ht="113.25" customHeight="1" thickBot="1" x14ac:dyDescent="0.3">
      <c r="A10" s="95" t="s">
        <v>389</v>
      </c>
      <c r="B10" s="92" t="s">
        <v>421</v>
      </c>
      <c r="C10" s="92" t="s">
        <v>422</v>
      </c>
      <c r="D10" s="93" t="s">
        <v>413</v>
      </c>
      <c r="E10" s="91" t="s">
        <v>414</v>
      </c>
      <c r="F10" s="94" t="s">
        <v>415</v>
      </c>
      <c r="G10" s="124" t="s">
        <v>445</v>
      </c>
      <c r="H10" s="125" t="s">
        <v>424</v>
      </c>
      <c r="I10" s="126" t="s">
        <v>397</v>
      </c>
      <c r="J10" s="41" t="s">
        <v>446</v>
      </c>
      <c r="K10" s="135" t="s">
        <v>426</v>
      </c>
      <c r="L10" s="135" t="s">
        <v>425</v>
      </c>
      <c r="M10" s="42" t="s">
        <v>447</v>
      </c>
      <c r="N10" s="42" t="s">
        <v>448</v>
      </c>
      <c r="O10" s="43" t="s">
        <v>449</v>
      </c>
      <c r="P10" s="44" t="s">
        <v>420</v>
      </c>
      <c r="Q10" s="40" t="s">
        <v>450</v>
      </c>
      <c r="R10" s="45" t="s">
        <v>409</v>
      </c>
      <c r="S10" s="137" t="s">
        <v>429</v>
      </c>
      <c r="T10" s="71" t="s">
        <v>419</v>
      </c>
      <c r="U10" s="71" t="s">
        <v>411</v>
      </c>
      <c r="V10" s="138" t="s">
        <v>431</v>
      </c>
    </row>
    <row r="11" spans="1:22" s="325" customFormat="1" ht="235.5" customHeight="1" thickBot="1" x14ac:dyDescent="0.3">
      <c r="A11" s="465">
        <v>0</v>
      </c>
      <c r="B11" s="359"/>
      <c r="C11" s="359"/>
      <c r="D11" s="360"/>
      <c r="E11" s="361"/>
      <c r="F11" s="362"/>
      <c r="G11" s="146" t="s">
        <v>398</v>
      </c>
      <c r="H11" s="147" t="s">
        <v>474</v>
      </c>
      <c r="I11" s="148">
        <v>45667</v>
      </c>
      <c r="J11" s="149">
        <v>20</v>
      </c>
      <c r="K11" s="150">
        <v>2</v>
      </c>
      <c r="L11" s="150"/>
      <c r="M11" s="151">
        <f t="shared" ref="M11:M32" si="0">J11*K11/60</f>
        <v>0.66666666666666663</v>
      </c>
      <c r="N11" s="151">
        <f t="shared" ref="N11:N32" si="1">J11*L11/60</f>
        <v>0</v>
      </c>
      <c r="O11" s="163"/>
      <c r="P11" s="153" t="s">
        <v>399</v>
      </c>
      <c r="Q11" s="162"/>
      <c r="R11" s="150"/>
      <c r="S11" s="150"/>
      <c r="T11" s="166" t="s">
        <v>479</v>
      </c>
      <c r="U11" s="164" t="s">
        <v>464</v>
      </c>
      <c r="V11" s="143"/>
    </row>
    <row r="12" spans="1:22" s="46" customFormat="1" ht="140.25" customHeight="1" thickBot="1" x14ac:dyDescent="0.3">
      <c r="A12" s="447">
        <v>0</v>
      </c>
      <c r="B12" s="55"/>
      <c r="C12" s="55"/>
      <c r="D12" s="83"/>
      <c r="E12" s="85"/>
      <c r="F12" s="121"/>
      <c r="G12" s="146" t="s">
        <v>398</v>
      </c>
      <c r="H12" s="147" t="s">
        <v>476</v>
      </c>
      <c r="I12" s="148">
        <v>45685</v>
      </c>
      <c r="J12" s="149">
        <v>60</v>
      </c>
      <c r="K12" s="150">
        <v>2</v>
      </c>
      <c r="L12" s="150"/>
      <c r="M12" s="151">
        <f t="shared" si="0"/>
        <v>2</v>
      </c>
      <c r="N12" s="151">
        <f t="shared" si="1"/>
        <v>0</v>
      </c>
      <c r="O12" s="163"/>
      <c r="P12" s="153" t="s">
        <v>399</v>
      </c>
      <c r="Q12" s="162"/>
      <c r="R12" s="150"/>
      <c r="S12" s="150"/>
      <c r="T12" s="165" t="s">
        <v>515</v>
      </c>
      <c r="U12" s="164" t="s">
        <v>464</v>
      </c>
      <c r="V12" s="143"/>
    </row>
    <row r="13" spans="1:22" s="46" customFormat="1" ht="123" customHeight="1" thickBot="1" x14ac:dyDescent="0.3">
      <c r="A13" s="447">
        <v>0</v>
      </c>
      <c r="B13" s="55"/>
      <c r="C13" s="55"/>
      <c r="D13" s="83"/>
      <c r="E13" s="85"/>
      <c r="F13" s="121"/>
      <c r="G13" s="146" t="s">
        <v>398</v>
      </c>
      <c r="H13" s="147" t="s">
        <v>475</v>
      </c>
      <c r="I13" s="148">
        <v>45853</v>
      </c>
      <c r="J13" s="149">
        <v>60</v>
      </c>
      <c r="K13" s="150">
        <v>2</v>
      </c>
      <c r="L13" s="150"/>
      <c r="M13" s="151">
        <f t="shared" si="0"/>
        <v>2</v>
      </c>
      <c r="N13" s="151">
        <f t="shared" si="1"/>
        <v>0</v>
      </c>
      <c r="O13" s="163"/>
      <c r="P13" s="153" t="s">
        <v>400</v>
      </c>
      <c r="Q13" s="162"/>
      <c r="R13" s="150"/>
      <c r="S13" s="167"/>
      <c r="T13" s="165"/>
      <c r="U13" s="164" t="s">
        <v>464</v>
      </c>
      <c r="V13" s="143"/>
    </row>
    <row r="14" spans="1:22" s="46" customFormat="1" ht="72.75" customHeight="1" thickBot="1" x14ac:dyDescent="0.3">
      <c r="A14" s="447">
        <v>0</v>
      </c>
      <c r="B14" s="55"/>
      <c r="C14" s="55"/>
      <c r="D14" s="83"/>
      <c r="E14" s="85"/>
      <c r="F14" s="121"/>
      <c r="G14" s="146" t="s">
        <v>401</v>
      </c>
      <c r="H14" s="147" t="s">
        <v>437</v>
      </c>
      <c r="I14" s="148">
        <v>45950</v>
      </c>
      <c r="J14" s="149">
        <v>60</v>
      </c>
      <c r="K14" s="150">
        <v>1</v>
      </c>
      <c r="L14" s="150"/>
      <c r="M14" s="151">
        <f t="shared" si="0"/>
        <v>1</v>
      </c>
      <c r="N14" s="151">
        <f t="shared" si="1"/>
        <v>0</v>
      </c>
      <c r="O14" s="152" t="s">
        <v>477</v>
      </c>
      <c r="P14" s="153" t="s">
        <v>402</v>
      </c>
      <c r="Q14" s="162"/>
      <c r="R14" s="150"/>
      <c r="S14" s="167"/>
      <c r="T14" s="165" t="s">
        <v>478</v>
      </c>
      <c r="U14" s="164" t="s">
        <v>410</v>
      </c>
      <c r="V14" s="143"/>
    </row>
    <row r="15" spans="1:22" s="46" customFormat="1" ht="72" customHeight="1" thickBot="1" x14ac:dyDescent="0.3">
      <c r="A15" s="447">
        <v>0</v>
      </c>
      <c r="B15" s="55"/>
      <c r="C15" s="55"/>
      <c r="D15" s="83"/>
      <c r="E15" s="85"/>
      <c r="F15" s="121"/>
      <c r="G15" s="146" t="s">
        <v>403</v>
      </c>
      <c r="H15" s="147" t="s">
        <v>436</v>
      </c>
      <c r="I15" s="148">
        <v>45950</v>
      </c>
      <c r="J15" s="149">
        <v>50</v>
      </c>
      <c r="K15" s="150">
        <v>1</v>
      </c>
      <c r="L15" s="150"/>
      <c r="M15" s="151">
        <f t="shared" si="0"/>
        <v>0.83333333333333337</v>
      </c>
      <c r="N15" s="151">
        <f t="shared" si="1"/>
        <v>0</v>
      </c>
      <c r="O15" s="152"/>
      <c r="P15" s="153" t="s">
        <v>402</v>
      </c>
      <c r="Q15" s="162" t="s">
        <v>486</v>
      </c>
      <c r="R15" s="150"/>
      <c r="S15" s="156"/>
      <c r="T15" s="165" t="s">
        <v>480</v>
      </c>
      <c r="U15" s="164" t="s">
        <v>410</v>
      </c>
      <c r="V15" s="143"/>
    </row>
    <row r="16" spans="1:22" s="46" customFormat="1" ht="52.5" customHeight="1" thickBot="1" x14ac:dyDescent="0.3">
      <c r="A16" s="447">
        <v>0</v>
      </c>
      <c r="B16" s="55"/>
      <c r="C16" s="55"/>
      <c r="D16" s="83"/>
      <c r="E16" s="85"/>
      <c r="F16" s="121"/>
      <c r="G16" s="146" t="s">
        <v>412</v>
      </c>
      <c r="H16" s="147"/>
      <c r="I16" s="148"/>
      <c r="J16" s="149"/>
      <c r="K16" s="150"/>
      <c r="L16" s="150"/>
      <c r="M16" s="151">
        <f t="shared" si="0"/>
        <v>0</v>
      </c>
      <c r="N16" s="151">
        <f t="shared" si="1"/>
        <v>0</v>
      </c>
      <c r="O16" s="152"/>
      <c r="P16" s="153"/>
      <c r="Q16" s="154" t="s">
        <v>481</v>
      </c>
      <c r="R16" s="155">
        <v>42</v>
      </c>
      <c r="S16" s="156">
        <f>12*22+30*41.12</f>
        <v>1497.6</v>
      </c>
      <c r="T16" s="165" t="s">
        <v>644</v>
      </c>
      <c r="U16" s="164" t="s">
        <v>410</v>
      </c>
      <c r="V16" s="143"/>
    </row>
    <row r="17" spans="1:22" s="46" customFormat="1" ht="87.75" customHeight="1" thickBot="1" x14ac:dyDescent="0.3">
      <c r="A17" s="447">
        <v>0</v>
      </c>
      <c r="B17" s="55"/>
      <c r="C17" s="55"/>
      <c r="D17" s="83"/>
      <c r="E17" s="85"/>
      <c r="F17" s="121"/>
      <c r="G17" s="146" t="s">
        <v>412</v>
      </c>
      <c r="H17" s="147"/>
      <c r="I17" s="148"/>
      <c r="J17" s="149"/>
      <c r="K17" s="150"/>
      <c r="L17" s="150"/>
      <c r="M17" s="151">
        <f t="shared" si="0"/>
        <v>0</v>
      </c>
      <c r="N17" s="151">
        <f t="shared" si="1"/>
        <v>0</v>
      </c>
      <c r="O17" s="152"/>
      <c r="P17" s="153"/>
      <c r="Q17" s="154" t="s">
        <v>482</v>
      </c>
      <c r="R17" s="157">
        <v>36</v>
      </c>
      <c r="S17" s="156">
        <f>26*36.45+10*18.6</f>
        <v>1133.7</v>
      </c>
      <c r="T17" s="165" t="s">
        <v>483</v>
      </c>
      <c r="U17" s="164" t="s">
        <v>410</v>
      </c>
      <c r="V17" s="143"/>
    </row>
    <row r="18" spans="1:22" s="46" customFormat="1" ht="70.5" customHeight="1" thickBot="1" x14ac:dyDescent="0.3">
      <c r="A18" s="447">
        <v>0</v>
      </c>
      <c r="B18" s="55"/>
      <c r="C18" s="55"/>
      <c r="D18" s="83"/>
      <c r="E18" s="85"/>
      <c r="F18" s="121"/>
      <c r="G18" s="146" t="s">
        <v>412</v>
      </c>
      <c r="H18" s="147"/>
      <c r="I18" s="148"/>
      <c r="J18" s="149"/>
      <c r="K18" s="150"/>
      <c r="L18" s="150"/>
      <c r="M18" s="151">
        <f t="shared" si="0"/>
        <v>0</v>
      </c>
      <c r="N18" s="151">
        <f t="shared" si="1"/>
        <v>0</v>
      </c>
      <c r="O18" s="152"/>
      <c r="P18" s="153"/>
      <c r="Q18" s="154" t="s">
        <v>484</v>
      </c>
      <c r="R18" s="155"/>
      <c r="S18" s="156">
        <v>-236.73</v>
      </c>
      <c r="T18" s="165" t="s">
        <v>485</v>
      </c>
      <c r="U18" s="164" t="s">
        <v>410</v>
      </c>
      <c r="V18" s="143"/>
    </row>
    <row r="19" spans="1:22" s="46" customFormat="1" ht="72.75" customHeight="1" thickBot="1" x14ac:dyDescent="0.3">
      <c r="A19" s="447">
        <v>0</v>
      </c>
      <c r="B19" s="55"/>
      <c r="C19" s="55"/>
      <c r="D19" s="83"/>
      <c r="E19" s="85"/>
      <c r="F19" s="121"/>
      <c r="G19" s="146" t="s">
        <v>412</v>
      </c>
      <c r="H19" s="147"/>
      <c r="I19" s="148"/>
      <c r="J19" s="149"/>
      <c r="K19" s="150"/>
      <c r="L19" s="150"/>
      <c r="M19" s="151">
        <f t="shared" si="0"/>
        <v>0</v>
      </c>
      <c r="N19" s="151">
        <f t="shared" si="1"/>
        <v>0</v>
      </c>
      <c r="O19" s="152"/>
      <c r="P19" s="153"/>
      <c r="Q19" s="154" t="s">
        <v>457</v>
      </c>
      <c r="R19" s="157">
        <v>40</v>
      </c>
      <c r="S19" s="156">
        <f>R19*2.05</f>
        <v>82</v>
      </c>
      <c r="T19" s="165" t="s">
        <v>487</v>
      </c>
      <c r="U19" s="164" t="s">
        <v>410</v>
      </c>
      <c r="V19" s="143"/>
    </row>
    <row r="20" spans="1:22" s="46" customFormat="1" ht="48" customHeight="1" thickBot="1" x14ac:dyDescent="0.3">
      <c r="A20" s="447">
        <v>0</v>
      </c>
      <c r="B20" s="55"/>
      <c r="C20" s="55"/>
      <c r="D20" s="83"/>
      <c r="E20" s="85"/>
      <c r="F20" s="121"/>
      <c r="G20" s="146" t="s">
        <v>412</v>
      </c>
      <c r="H20" s="147"/>
      <c r="I20" s="148"/>
      <c r="J20" s="149"/>
      <c r="K20" s="150"/>
      <c r="L20" s="150"/>
      <c r="M20" s="151">
        <f t="shared" si="0"/>
        <v>0</v>
      </c>
      <c r="N20" s="151">
        <f t="shared" si="1"/>
        <v>0</v>
      </c>
      <c r="O20" s="152"/>
      <c r="P20" s="153"/>
      <c r="Q20" s="154" t="s">
        <v>438</v>
      </c>
      <c r="R20" s="150">
        <v>2</v>
      </c>
      <c r="S20" s="326">
        <f>35+18.99</f>
        <v>53.989999999999995</v>
      </c>
      <c r="T20" s="165" t="s">
        <v>439</v>
      </c>
      <c r="U20" s="164" t="s">
        <v>410</v>
      </c>
      <c r="V20" s="143"/>
    </row>
    <row r="21" spans="1:22" s="46" customFormat="1" ht="102" customHeight="1" thickBot="1" x14ac:dyDescent="0.3">
      <c r="A21" s="447">
        <v>0</v>
      </c>
      <c r="B21" s="55"/>
      <c r="C21" s="55"/>
      <c r="D21" s="83"/>
      <c r="E21" s="85"/>
      <c r="F21" s="121"/>
      <c r="G21" s="158" t="s">
        <v>488</v>
      </c>
      <c r="H21" s="159" t="s">
        <v>489</v>
      </c>
      <c r="I21" s="160">
        <v>45945</v>
      </c>
      <c r="J21" s="149">
        <v>40</v>
      </c>
      <c r="K21" s="150">
        <v>1</v>
      </c>
      <c r="L21" s="150"/>
      <c r="M21" s="151">
        <f t="shared" si="0"/>
        <v>0.66666666666666663</v>
      </c>
      <c r="N21" s="151">
        <f t="shared" si="1"/>
        <v>0</v>
      </c>
      <c r="O21" s="152"/>
      <c r="P21" s="161" t="s">
        <v>490</v>
      </c>
      <c r="Q21" s="162"/>
      <c r="R21" s="150"/>
      <c r="S21" s="156"/>
      <c r="T21" s="257"/>
      <c r="U21" s="164" t="s">
        <v>410</v>
      </c>
      <c r="V21" s="143"/>
    </row>
    <row r="22" spans="1:22" s="46" customFormat="1" ht="102" customHeight="1" thickBot="1" x14ac:dyDescent="0.3">
      <c r="A22" s="447">
        <v>0</v>
      </c>
      <c r="B22" s="55"/>
      <c r="C22" s="55"/>
      <c r="D22" s="83"/>
      <c r="E22" s="85"/>
      <c r="F22" s="121"/>
      <c r="G22" s="158" t="s">
        <v>491</v>
      </c>
      <c r="H22" s="159" t="s">
        <v>492</v>
      </c>
      <c r="I22" s="160">
        <v>45946</v>
      </c>
      <c r="J22" s="149">
        <v>15</v>
      </c>
      <c r="K22" s="150">
        <v>1</v>
      </c>
      <c r="L22" s="150"/>
      <c r="M22" s="151">
        <f t="shared" ref="M22" si="2">J22*K22/60</f>
        <v>0.25</v>
      </c>
      <c r="N22" s="151">
        <f t="shared" ref="N22" si="3">J22*L22/60</f>
        <v>0</v>
      </c>
      <c r="O22" s="152"/>
      <c r="P22" s="161" t="s">
        <v>490</v>
      </c>
      <c r="Q22" s="162" t="s">
        <v>493</v>
      </c>
      <c r="R22" s="150"/>
      <c r="S22" s="156"/>
      <c r="T22" s="257"/>
      <c r="U22" s="164" t="s">
        <v>410</v>
      </c>
      <c r="V22" s="143"/>
    </row>
    <row r="23" spans="1:22" s="46" customFormat="1" ht="93.75" customHeight="1" thickBot="1" x14ac:dyDescent="0.3">
      <c r="A23" s="447">
        <v>0</v>
      </c>
      <c r="B23" s="56"/>
      <c r="C23" s="56"/>
      <c r="D23" s="84"/>
      <c r="E23" s="86"/>
      <c r="F23" s="122"/>
      <c r="G23" s="146" t="s">
        <v>412</v>
      </c>
      <c r="H23" s="147"/>
      <c r="I23" s="148"/>
      <c r="J23" s="149"/>
      <c r="K23" s="150"/>
      <c r="L23" s="150"/>
      <c r="M23" s="151">
        <f t="shared" si="0"/>
        <v>0</v>
      </c>
      <c r="N23" s="151">
        <f t="shared" si="1"/>
        <v>0</v>
      </c>
      <c r="O23" s="163"/>
      <c r="P23" s="153"/>
      <c r="Q23" s="154" t="s">
        <v>494</v>
      </c>
      <c r="R23" s="155">
        <v>46</v>
      </c>
      <c r="S23" s="156">
        <f>46*2.15</f>
        <v>98.899999999999991</v>
      </c>
      <c r="T23" s="257" t="s">
        <v>497</v>
      </c>
      <c r="U23" s="164" t="s">
        <v>410</v>
      </c>
      <c r="V23" s="143"/>
    </row>
    <row r="24" spans="1:22" s="46" customFormat="1" ht="75" customHeight="1" thickBot="1" x14ac:dyDescent="0.3">
      <c r="A24" s="447">
        <v>0</v>
      </c>
      <c r="B24" s="56"/>
      <c r="C24" s="56"/>
      <c r="D24" s="84"/>
      <c r="E24" s="86"/>
      <c r="F24" s="122"/>
      <c r="G24" s="146" t="s">
        <v>412</v>
      </c>
      <c r="H24" s="147"/>
      <c r="I24" s="148"/>
      <c r="J24" s="149"/>
      <c r="K24" s="150"/>
      <c r="L24" s="150"/>
      <c r="M24" s="151">
        <f t="shared" ref="M24:M29" si="4">J24*K24/60</f>
        <v>0</v>
      </c>
      <c r="N24" s="151">
        <f t="shared" ref="N24:N29" si="5">J24*L24/60</f>
        <v>0</v>
      </c>
      <c r="O24" s="163"/>
      <c r="P24" s="153"/>
      <c r="Q24" s="154" t="s">
        <v>495</v>
      </c>
      <c r="R24" s="155">
        <v>46</v>
      </c>
      <c r="S24" s="156">
        <f>46*0.56</f>
        <v>25.76</v>
      </c>
      <c r="T24" s="257" t="s">
        <v>498</v>
      </c>
      <c r="U24" s="164" t="s">
        <v>410</v>
      </c>
      <c r="V24" s="143"/>
    </row>
    <row r="25" spans="1:22" s="46" customFormat="1" ht="75" customHeight="1" thickBot="1" x14ac:dyDescent="0.3">
      <c r="A25" s="447">
        <v>0</v>
      </c>
      <c r="B25" s="56"/>
      <c r="C25" s="56"/>
      <c r="D25" s="84"/>
      <c r="E25" s="86"/>
      <c r="F25" s="122"/>
      <c r="G25" s="146" t="s">
        <v>412</v>
      </c>
      <c r="H25" s="147"/>
      <c r="I25" s="148"/>
      <c r="J25" s="149"/>
      <c r="K25" s="150"/>
      <c r="L25" s="150"/>
      <c r="M25" s="151">
        <f t="shared" si="4"/>
        <v>0</v>
      </c>
      <c r="N25" s="151">
        <f t="shared" si="5"/>
        <v>0</v>
      </c>
      <c r="O25" s="163"/>
      <c r="P25" s="153"/>
      <c r="Q25" s="154" t="s">
        <v>496</v>
      </c>
      <c r="R25" s="155">
        <v>46</v>
      </c>
      <c r="S25" s="156">
        <f>46*0.05</f>
        <v>2.3000000000000003</v>
      </c>
      <c r="T25" s="257" t="s">
        <v>499</v>
      </c>
      <c r="U25" s="164" t="s">
        <v>410</v>
      </c>
      <c r="V25" s="143"/>
    </row>
    <row r="26" spans="1:22" s="46" customFormat="1" ht="75" customHeight="1" thickBot="1" x14ac:dyDescent="0.3">
      <c r="A26" s="447">
        <v>0</v>
      </c>
      <c r="B26" s="56"/>
      <c r="C26" s="56"/>
      <c r="D26" s="84"/>
      <c r="E26" s="86"/>
      <c r="F26" s="122"/>
      <c r="G26" s="146" t="s">
        <v>412</v>
      </c>
      <c r="H26" s="147"/>
      <c r="I26" s="148"/>
      <c r="J26" s="149"/>
      <c r="K26" s="150"/>
      <c r="L26" s="150"/>
      <c r="M26" s="151">
        <f t="shared" si="4"/>
        <v>0</v>
      </c>
      <c r="N26" s="151">
        <f t="shared" si="5"/>
        <v>0</v>
      </c>
      <c r="O26" s="163"/>
      <c r="P26" s="153"/>
      <c r="Q26" s="154" t="s">
        <v>500</v>
      </c>
      <c r="R26" s="155">
        <v>46</v>
      </c>
      <c r="S26" s="259">
        <f>46*16.49</f>
        <v>758.54</v>
      </c>
      <c r="T26" s="257" t="s">
        <v>501</v>
      </c>
      <c r="U26" s="164" t="s">
        <v>410</v>
      </c>
      <c r="V26" s="143"/>
    </row>
    <row r="27" spans="1:22" s="46" customFormat="1" ht="75" customHeight="1" thickBot="1" x14ac:dyDescent="0.3">
      <c r="A27" s="447">
        <v>0</v>
      </c>
      <c r="B27" s="56"/>
      <c r="C27" s="56"/>
      <c r="D27" s="84"/>
      <c r="E27" s="86"/>
      <c r="F27" s="122"/>
      <c r="G27" s="146" t="s">
        <v>412</v>
      </c>
      <c r="H27" s="147"/>
      <c r="I27" s="148"/>
      <c r="J27" s="149"/>
      <c r="K27" s="150"/>
      <c r="L27" s="150"/>
      <c r="M27" s="151">
        <f t="shared" si="4"/>
        <v>0</v>
      </c>
      <c r="N27" s="151">
        <f t="shared" si="5"/>
        <v>0</v>
      </c>
      <c r="O27" s="163"/>
      <c r="P27" s="153"/>
      <c r="Q27" s="162" t="s">
        <v>502</v>
      </c>
      <c r="R27" s="155">
        <v>46</v>
      </c>
      <c r="S27" s="156">
        <f>R27*4.4</f>
        <v>202.4</v>
      </c>
      <c r="T27" s="257" t="s">
        <v>503</v>
      </c>
      <c r="U27" s="164" t="s">
        <v>410</v>
      </c>
      <c r="V27" s="143"/>
    </row>
    <row r="28" spans="1:22" s="46" customFormat="1" ht="75" customHeight="1" thickBot="1" x14ac:dyDescent="0.3">
      <c r="A28" s="447">
        <v>0</v>
      </c>
      <c r="B28" s="56"/>
      <c r="C28" s="56"/>
      <c r="D28" s="84"/>
      <c r="E28" s="86"/>
      <c r="F28" s="122"/>
      <c r="G28" s="146" t="s">
        <v>412</v>
      </c>
      <c r="H28" s="147"/>
      <c r="I28" s="148"/>
      <c r="J28" s="149"/>
      <c r="K28" s="150"/>
      <c r="L28" s="150"/>
      <c r="M28" s="151">
        <f t="shared" si="4"/>
        <v>0</v>
      </c>
      <c r="N28" s="151">
        <f t="shared" si="5"/>
        <v>0</v>
      </c>
      <c r="O28" s="163"/>
      <c r="P28" s="153"/>
      <c r="Q28" s="162" t="s">
        <v>504</v>
      </c>
      <c r="R28" s="150">
        <v>1</v>
      </c>
      <c r="S28" s="156">
        <v>12</v>
      </c>
      <c r="T28" s="257" t="s">
        <v>505</v>
      </c>
      <c r="U28" s="164" t="s">
        <v>410</v>
      </c>
      <c r="V28" s="143"/>
    </row>
    <row r="29" spans="1:22" s="46" customFormat="1" ht="75" customHeight="1" thickBot="1" x14ac:dyDescent="0.3">
      <c r="A29" s="447">
        <v>0</v>
      </c>
      <c r="B29" s="56"/>
      <c r="C29" s="56"/>
      <c r="D29" s="84"/>
      <c r="E29" s="86"/>
      <c r="F29" s="122"/>
      <c r="G29" s="146" t="s">
        <v>412</v>
      </c>
      <c r="H29" s="147"/>
      <c r="I29" s="148"/>
      <c r="J29" s="149"/>
      <c r="K29" s="150"/>
      <c r="L29" s="150"/>
      <c r="M29" s="151">
        <f t="shared" si="4"/>
        <v>0</v>
      </c>
      <c r="N29" s="151">
        <f t="shared" si="5"/>
        <v>0</v>
      </c>
      <c r="O29" s="163"/>
      <c r="P29" s="153"/>
      <c r="Q29" s="162" t="s">
        <v>506</v>
      </c>
      <c r="R29" s="150">
        <v>5</v>
      </c>
      <c r="S29" s="156">
        <f>R29*29.95</f>
        <v>149.75</v>
      </c>
      <c r="T29" s="257" t="s">
        <v>507</v>
      </c>
      <c r="U29" s="164" t="s">
        <v>410</v>
      </c>
      <c r="V29" s="143"/>
    </row>
    <row r="30" spans="1:22" s="46" customFormat="1" ht="96.75" customHeight="1" thickBot="1" x14ac:dyDescent="0.3">
      <c r="A30" s="447">
        <v>0</v>
      </c>
      <c r="B30" s="56"/>
      <c r="C30" s="56"/>
      <c r="D30" s="84"/>
      <c r="E30" s="86"/>
      <c r="F30" s="122"/>
      <c r="G30" s="146" t="s">
        <v>412</v>
      </c>
      <c r="H30" s="147"/>
      <c r="I30" s="148"/>
      <c r="J30" s="149"/>
      <c r="K30" s="150"/>
      <c r="L30" s="150"/>
      <c r="M30" s="151">
        <f t="shared" ref="M30" si="6">J30*K30/60</f>
        <v>0</v>
      </c>
      <c r="N30" s="151">
        <f t="shared" ref="N30" si="7">J30*L30/60</f>
        <v>0</v>
      </c>
      <c r="O30" s="163"/>
      <c r="P30" s="153"/>
      <c r="Q30" s="162" t="s">
        <v>508</v>
      </c>
      <c r="R30" s="150">
        <v>25</v>
      </c>
      <c r="S30" s="156">
        <f>R30*31</f>
        <v>775</v>
      </c>
      <c r="T30" s="257" t="s">
        <v>509</v>
      </c>
      <c r="U30" s="164" t="s">
        <v>410</v>
      </c>
      <c r="V30" s="143"/>
    </row>
    <row r="31" spans="1:22" s="46" customFormat="1" ht="57.75" customHeight="1" x14ac:dyDescent="0.25">
      <c r="A31" s="447">
        <v>0</v>
      </c>
      <c r="B31" s="56"/>
      <c r="C31" s="56"/>
      <c r="D31" s="84"/>
      <c r="E31" s="86"/>
      <c r="F31" s="122"/>
      <c r="G31" s="146" t="s">
        <v>412</v>
      </c>
      <c r="H31" s="147"/>
      <c r="I31" s="148"/>
      <c r="J31" s="149"/>
      <c r="K31" s="150"/>
      <c r="L31" s="150"/>
      <c r="M31" s="151">
        <f t="shared" si="0"/>
        <v>0</v>
      </c>
      <c r="N31" s="151">
        <f t="shared" si="1"/>
        <v>0</v>
      </c>
      <c r="O31" s="163"/>
      <c r="P31" s="258"/>
      <c r="Q31" s="254" t="s">
        <v>468</v>
      </c>
      <c r="R31" s="255">
        <v>18</v>
      </c>
      <c r="S31" s="253">
        <f>R31*4.4</f>
        <v>79.2</v>
      </c>
      <c r="T31" s="256" t="s">
        <v>510</v>
      </c>
      <c r="U31" s="164" t="s">
        <v>410</v>
      </c>
      <c r="V31" s="143"/>
    </row>
    <row r="32" spans="1:22" s="325" customFormat="1" ht="84.75" customHeight="1" x14ac:dyDescent="0.25">
      <c r="A32" s="447">
        <v>0</v>
      </c>
      <c r="B32" s="322"/>
      <c r="C32" s="322"/>
      <c r="D32" s="363"/>
      <c r="E32" s="364"/>
      <c r="F32" s="324"/>
      <c r="G32" s="407" t="s">
        <v>511</v>
      </c>
      <c r="H32" s="408" t="s">
        <v>512</v>
      </c>
      <c r="I32" s="409">
        <v>46054</v>
      </c>
      <c r="J32" s="410">
        <v>90</v>
      </c>
      <c r="K32" s="411">
        <v>1</v>
      </c>
      <c r="L32" s="411"/>
      <c r="M32" s="412">
        <f t="shared" si="0"/>
        <v>1.5</v>
      </c>
      <c r="N32" s="412">
        <f t="shared" si="1"/>
        <v>0</v>
      </c>
      <c r="O32" s="413"/>
      <c r="P32" s="414" t="s">
        <v>513</v>
      </c>
      <c r="Q32" s="407" t="s">
        <v>423</v>
      </c>
      <c r="R32" s="415" t="s">
        <v>467</v>
      </c>
      <c r="S32" s="416">
        <f>1.5*35</f>
        <v>52.5</v>
      </c>
      <c r="T32" s="417" t="s">
        <v>514</v>
      </c>
      <c r="U32" s="417" t="s">
        <v>410</v>
      </c>
      <c r="V32" s="139"/>
    </row>
    <row r="33" spans="1:22" s="325" customFormat="1" ht="73.5" customHeight="1" x14ac:dyDescent="0.25">
      <c r="A33" s="447">
        <v>0</v>
      </c>
      <c r="B33" s="322"/>
      <c r="C33" s="322"/>
      <c r="D33" s="363"/>
      <c r="E33" s="364"/>
      <c r="F33" s="324"/>
      <c r="G33" s="418" t="s">
        <v>404</v>
      </c>
      <c r="H33" s="419" t="s">
        <v>405</v>
      </c>
      <c r="I33" s="420">
        <v>45852</v>
      </c>
      <c r="J33" s="410">
        <v>20</v>
      </c>
      <c r="K33" s="411">
        <v>1</v>
      </c>
      <c r="L33" s="411"/>
      <c r="M33" s="412">
        <f t="shared" ref="M33" si="8">J33*K33/60</f>
        <v>0.33333333333333331</v>
      </c>
      <c r="N33" s="412">
        <f t="shared" ref="N33" si="9">J33*L33/60</f>
        <v>0</v>
      </c>
      <c r="O33" s="413" t="s">
        <v>441</v>
      </c>
      <c r="P33" s="421" t="s">
        <v>518</v>
      </c>
      <c r="Q33" s="407" t="s">
        <v>423</v>
      </c>
      <c r="R33" s="415" t="s">
        <v>466</v>
      </c>
      <c r="S33" s="416">
        <f>M33*27</f>
        <v>9</v>
      </c>
      <c r="T33" s="422"/>
      <c r="U33" s="417" t="s">
        <v>410</v>
      </c>
      <c r="V33" s="139"/>
    </row>
    <row r="34" spans="1:22" s="325" customFormat="1" ht="96.75" customHeight="1" x14ac:dyDescent="0.25">
      <c r="A34" s="447">
        <v>0</v>
      </c>
      <c r="B34" s="365"/>
      <c r="C34" s="365"/>
      <c r="D34" s="366"/>
      <c r="E34" s="367"/>
      <c r="F34" s="260"/>
      <c r="G34" s="423" t="s">
        <v>406</v>
      </c>
      <c r="H34" s="424" t="s">
        <v>516</v>
      </c>
      <c r="I34" s="425">
        <v>45930</v>
      </c>
      <c r="J34" s="426">
        <v>120</v>
      </c>
      <c r="K34" s="411">
        <v>1</v>
      </c>
      <c r="L34" s="411"/>
      <c r="M34" s="412">
        <f t="shared" ref="M34:M46" si="10">J34*K34/60</f>
        <v>2</v>
      </c>
      <c r="N34" s="412">
        <f t="shared" ref="N34:N46" si="11">J34*L34/60</f>
        <v>0</v>
      </c>
      <c r="O34" s="413" t="s">
        <v>452</v>
      </c>
      <c r="P34" s="427" t="s">
        <v>517</v>
      </c>
      <c r="Q34" s="407" t="s">
        <v>423</v>
      </c>
      <c r="R34" s="415"/>
      <c r="S34" s="416"/>
      <c r="T34" s="417" t="s">
        <v>519</v>
      </c>
      <c r="U34" s="417" t="s">
        <v>410</v>
      </c>
      <c r="V34" s="139"/>
    </row>
    <row r="35" spans="1:22" s="325" customFormat="1" ht="93" customHeight="1" x14ac:dyDescent="0.25">
      <c r="A35" s="447">
        <v>0</v>
      </c>
      <c r="B35" s="365"/>
      <c r="C35" s="365"/>
      <c r="D35" s="366"/>
      <c r="E35" s="367"/>
      <c r="F35" s="260"/>
      <c r="G35" s="428" t="s">
        <v>440</v>
      </c>
      <c r="H35" s="429" t="s">
        <v>520</v>
      </c>
      <c r="I35" s="425">
        <v>45977</v>
      </c>
      <c r="J35" s="426">
        <v>15</v>
      </c>
      <c r="K35" s="411">
        <v>2</v>
      </c>
      <c r="L35" s="411"/>
      <c r="M35" s="412">
        <f t="shared" si="10"/>
        <v>0.5</v>
      </c>
      <c r="N35" s="412">
        <f t="shared" si="11"/>
        <v>0</v>
      </c>
      <c r="O35" s="413"/>
      <c r="P35" s="427" t="s">
        <v>442</v>
      </c>
      <c r="Q35" s="407" t="s">
        <v>521</v>
      </c>
      <c r="R35" s="415">
        <v>1</v>
      </c>
      <c r="S35" s="416">
        <v>3</v>
      </c>
      <c r="T35" s="422" t="s">
        <v>522</v>
      </c>
      <c r="U35" s="417" t="s">
        <v>410</v>
      </c>
      <c r="V35" s="139"/>
    </row>
    <row r="36" spans="1:22" s="325" customFormat="1" ht="121.5" customHeight="1" x14ac:dyDescent="0.25">
      <c r="A36" s="447">
        <v>0</v>
      </c>
      <c r="B36" s="365"/>
      <c r="C36" s="365"/>
      <c r="D36" s="366"/>
      <c r="E36" s="367"/>
      <c r="F36" s="260"/>
      <c r="G36" s="428" t="s">
        <v>463</v>
      </c>
      <c r="H36" s="429" t="s">
        <v>443</v>
      </c>
      <c r="I36" s="434">
        <v>45978</v>
      </c>
      <c r="J36" s="410">
        <v>90</v>
      </c>
      <c r="K36" s="411">
        <v>1</v>
      </c>
      <c r="L36" s="411">
        <v>1</v>
      </c>
      <c r="M36" s="412">
        <f t="shared" si="10"/>
        <v>1.5</v>
      </c>
      <c r="N36" s="412">
        <f t="shared" si="11"/>
        <v>1.5</v>
      </c>
      <c r="O36" s="413" t="s">
        <v>452</v>
      </c>
      <c r="P36" s="421" t="s">
        <v>442</v>
      </c>
      <c r="Q36" s="407"/>
      <c r="R36" s="432"/>
      <c r="S36" s="416"/>
      <c r="T36" s="422"/>
      <c r="U36" s="417" t="s">
        <v>410</v>
      </c>
      <c r="V36" s="139"/>
    </row>
    <row r="37" spans="1:22" s="325" customFormat="1" ht="110.25" customHeight="1" x14ac:dyDescent="0.25">
      <c r="A37" s="447">
        <v>0</v>
      </c>
      <c r="B37" s="365"/>
      <c r="C37" s="365"/>
      <c r="D37" s="366"/>
      <c r="E37" s="367"/>
      <c r="F37" s="260"/>
      <c r="G37" s="428" t="s">
        <v>444</v>
      </c>
      <c r="H37" s="429" t="s">
        <v>523</v>
      </c>
      <c r="I37" s="425">
        <v>45978</v>
      </c>
      <c r="J37" s="410">
        <v>75</v>
      </c>
      <c r="K37" s="411">
        <v>1</v>
      </c>
      <c r="L37" s="411">
        <v>1</v>
      </c>
      <c r="M37" s="412">
        <f t="shared" si="10"/>
        <v>1.25</v>
      </c>
      <c r="N37" s="412">
        <f t="shared" si="11"/>
        <v>1.25</v>
      </c>
      <c r="O37" s="413"/>
      <c r="P37" s="421" t="s">
        <v>524</v>
      </c>
      <c r="Q37" s="428" t="s">
        <v>423</v>
      </c>
      <c r="R37" s="432" t="s">
        <v>467</v>
      </c>
      <c r="S37" s="416">
        <f>35*M37</f>
        <v>43.75</v>
      </c>
      <c r="T37" s="422"/>
      <c r="U37" s="417" t="s">
        <v>410</v>
      </c>
      <c r="V37" s="139"/>
    </row>
    <row r="38" spans="1:22" s="325" customFormat="1" ht="58.5" customHeight="1" x14ac:dyDescent="0.25">
      <c r="A38" s="447">
        <v>0</v>
      </c>
      <c r="B38" s="365"/>
      <c r="C38" s="365"/>
      <c r="D38" s="366"/>
      <c r="E38" s="367"/>
      <c r="F38" s="260"/>
      <c r="G38" s="428" t="s">
        <v>525</v>
      </c>
      <c r="H38" s="429" t="s">
        <v>526</v>
      </c>
      <c r="I38" s="434" t="s">
        <v>527</v>
      </c>
      <c r="J38" s="410">
        <v>80</v>
      </c>
      <c r="K38" s="411">
        <v>1</v>
      </c>
      <c r="L38" s="411"/>
      <c r="M38" s="412">
        <f t="shared" si="10"/>
        <v>1.3333333333333333</v>
      </c>
      <c r="N38" s="412">
        <f t="shared" si="11"/>
        <v>0</v>
      </c>
      <c r="O38" s="413"/>
      <c r="P38" s="421" t="s">
        <v>402</v>
      </c>
      <c r="Q38" s="428"/>
      <c r="R38" s="432"/>
      <c r="S38" s="416"/>
      <c r="T38" s="422" t="s">
        <v>528</v>
      </c>
      <c r="U38" s="417" t="s">
        <v>410</v>
      </c>
      <c r="V38" s="139"/>
    </row>
    <row r="39" spans="1:22" s="325" customFormat="1" ht="105" customHeight="1" x14ac:dyDescent="0.25">
      <c r="A39" s="447">
        <v>0</v>
      </c>
      <c r="B39" s="365"/>
      <c r="C39" s="365"/>
      <c r="D39" s="366"/>
      <c r="E39" s="367"/>
      <c r="F39" s="260"/>
      <c r="G39" s="423" t="s">
        <v>529</v>
      </c>
      <c r="H39" s="430" t="s">
        <v>530</v>
      </c>
      <c r="I39" s="431">
        <v>45979</v>
      </c>
      <c r="J39" s="426">
        <v>75</v>
      </c>
      <c r="K39" s="411">
        <v>1</v>
      </c>
      <c r="L39" s="411"/>
      <c r="M39" s="412">
        <f t="shared" si="10"/>
        <v>1.25</v>
      </c>
      <c r="N39" s="412">
        <f t="shared" si="11"/>
        <v>0</v>
      </c>
      <c r="O39" s="413" t="s">
        <v>452</v>
      </c>
      <c r="P39" s="421" t="s">
        <v>531</v>
      </c>
      <c r="Q39" s="428" t="s">
        <v>532</v>
      </c>
      <c r="R39" s="432">
        <v>31</v>
      </c>
      <c r="S39" s="416"/>
      <c r="T39" s="422" t="s">
        <v>534</v>
      </c>
      <c r="U39" s="417" t="s">
        <v>410</v>
      </c>
      <c r="V39" s="139"/>
    </row>
    <row r="40" spans="1:22" s="325" customFormat="1" ht="148.5" customHeight="1" x14ac:dyDescent="0.25">
      <c r="A40" s="447">
        <v>0</v>
      </c>
      <c r="B40" s="365"/>
      <c r="C40" s="365"/>
      <c r="D40" s="366"/>
      <c r="E40" s="367"/>
      <c r="F40" s="260"/>
      <c r="G40" s="428"/>
      <c r="H40" s="429"/>
      <c r="I40" s="425"/>
      <c r="J40" s="433"/>
      <c r="K40" s="411"/>
      <c r="L40" s="411"/>
      <c r="M40" s="412">
        <f t="shared" si="10"/>
        <v>0</v>
      </c>
      <c r="N40" s="412">
        <f t="shared" si="11"/>
        <v>0</v>
      </c>
      <c r="O40" s="413"/>
      <c r="P40" s="421"/>
      <c r="Q40" s="428" t="s">
        <v>533</v>
      </c>
      <c r="R40" s="432">
        <v>1</v>
      </c>
      <c r="S40" s="416"/>
      <c r="T40" s="422" t="s">
        <v>535</v>
      </c>
      <c r="U40" s="417" t="s">
        <v>410</v>
      </c>
      <c r="V40" s="139"/>
    </row>
    <row r="41" spans="1:22" s="325" customFormat="1" ht="148.5" customHeight="1" x14ac:dyDescent="0.25">
      <c r="A41" s="447">
        <v>0</v>
      </c>
      <c r="B41" s="365"/>
      <c r="C41" s="365"/>
      <c r="D41" s="366"/>
      <c r="E41" s="367"/>
      <c r="F41" s="260"/>
      <c r="G41" s="428"/>
      <c r="H41" s="429"/>
      <c r="I41" s="425"/>
      <c r="J41" s="433"/>
      <c r="K41" s="411"/>
      <c r="L41" s="411"/>
      <c r="M41" s="412">
        <f t="shared" ref="M41:M42" si="12">J41*K41/60</f>
        <v>0</v>
      </c>
      <c r="N41" s="412">
        <f t="shared" ref="N41:N42" si="13">J41*L41/60</f>
        <v>0</v>
      </c>
      <c r="O41" s="413"/>
      <c r="P41" s="421"/>
      <c r="Q41" s="428" t="s">
        <v>536</v>
      </c>
      <c r="R41" s="432">
        <v>1</v>
      </c>
      <c r="S41" s="416">
        <v>10</v>
      </c>
      <c r="T41" s="422" t="s">
        <v>537</v>
      </c>
      <c r="U41" s="435" t="s">
        <v>410</v>
      </c>
      <c r="V41" s="139"/>
    </row>
    <row r="42" spans="1:22" s="325" customFormat="1" ht="90" customHeight="1" x14ac:dyDescent="0.25">
      <c r="A42" s="447">
        <v>0</v>
      </c>
      <c r="B42" s="365"/>
      <c r="C42" s="365"/>
      <c r="D42" s="366"/>
      <c r="E42" s="367"/>
      <c r="F42" s="260"/>
      <c r="G42" s="423" t="s">
        <v>529</v>
      </c>
      <c r="H42" s="430" t="s">
        <v>538</v>
      </c>
      <c r="I42" s="425">
        <v>45986</v>
      </c>
      <c r="J42" s="433">
        <v>105</v>
      </c>
      <c r="K42" s="411">
        <v>1</v>
      </c>
      <c r="L42" s="411"/>
      <c r="M42" s="412">
        <f t="shared" si="12"/>
        <v>1.75</v>
      </c>
      <c r="N42" s="412">
        <f t="shared" si="13"/>
        <v>0</v>
      </c>
      <c r="O42" s="413" t="s">
        <v>539</v>
      </c>
      <c r="P42" s="421" t="s">
        <v>540</v>
      </c>
      <c r="Q42" s="428" t="s">
        <v>540</v>
      </c>
      <c r="R42" s="432">
        <v>1</v>
      </c>
      <c r="S42" s="416">
        <v>10</v>
      </c>
      <c r="T42" s="422" t="s">
        <v>541</v>
      </c>
      <c r="U42" s="435" t="s">
        <v>410</v>
      </c>
      <c r="V42" s="139"/>
    </row>
    <row r="43" spans="1:22" s="325" customFormat="1" ht="120" customHeight="1" x14ac:dyDescent="0.25">
      <c r="A43" s="447">
        <v>0</v>
      </c>
      <c r="B43" s="365"/>
      <c r="C43" s="365"/>
      <c r="D43" s="366"/>
      <c r="E43" s="367"/>
      <c r="F43" s="260"/>
      <c r="G43" s="423" t="s">
        <v>542</v>
      </c>
      <c r="H43" s="430" t="s">
        <v>543</v>
      </c>
      <c r="I43" s="425">
        <v>45987</v>
      </c>
      <c r="J43" s="433">
        <v>40</v>
      </c>
      <c r="K43" s="411">
        <v>1</v>
      </c>
      <c r="L43" s="411">
        <v>1</v>
      </c>
      <c r="M43" s="412">
        <f t="shared" si="10"/>
        <v>0.66666666666666663</v>
      </c>
      <c r="N43" s="412">
        <f t="shared" si="11"/>
        <v>0.66666666666666663</v>
      </c>
      <c r="O43" s="413"/>
      <c r="P43" s="427" t="s">
        <v>544</v>
      </c>
      <c r="Q43" s="436" t="s">
        <v>545</v>
      </c>
      <c r="R43" s="437">
        <v>5</v>
      </c>
      <c r="S43" s="437"/>
      <c r="T43" s="435" t="s">
        <v>546</v>
      </c>
      <c r="U43" s="435" t="s">
        <v>410</v>
      </c>
      <c r="V43" s="139"/>
    </row>
    <row r="44" spans="1:22" s="325" customFormat="1" ht="93" customHeight="1" x14ac:dyDescent="0.25">
      <c r="A44" s="447">
        <v>0</v>
      </c>
      <c r="B44" s="365"/>
      <c r="C44" s="365"/>
      <c r="D44" s="366"/>
      <c r="E44" s="367"/>
      <c r="F44" s="260"/>
      <c r="G44" s="423" t="s">
        <v>542</v>
      </c>
      <c r="H44" s="424" t="s">
        <v>547</v>
      </c>
      <c r="I44" s="425">
        <v>45988</v>
      </c>
      <c r="J44" s="410">
        <v>30</v>
      </c>
      <c r="K44" s="411"/>
      <c r="L44" s="411">
        <v>1</v>
      </c>
      <c r="M44" s="412">
        <f t="shared" si="10"/>
        <v>0</v>
      </c>
      <c r="N44" s="412">
        <f t="shared" si="11"/>
        <v>0.5</v>
      </c>
      <c r="O44" s="413"/>
      <c r="P44" s="438" t="s">
        <v>550</v>
      </c>
      <c r="Q44" s="439"/>
      <c r="R44" s="440"/>
      <c r="S44" s="440"/>
      <c r="T44" s="441"/>
      <c r="U44" s="435" t="s">
        <v>410</v>
      </c>
      <c r="V44" s="139"/>
    </row>
    <row r="45" spans="1:22" s="325" customFormat="1" ht="127.5" customHeight="1" x14ac:dyDescent="0.25">
      <c r="A45" s="447">
        <v>0</v>
      </c>
      <c r="B45" s="365"/>
      <c r="C45" s="365"/>
      <c r="D45" s="366"/>
      <c r="E45" s="367"/>
      <c r="F45" s="260"/>
      <c r="G45" s="423" t="s">
        <v>548</v>
      </c>
      <c r="H45" s="424" t="s">
        <v>549</v>
      </c>
      <c r="I45" s="425">
        <v>45988</v>
      </c>
      <c r="J45" s="410">
        <v>15</v>
      </c>
      <c r="K45" s="411">
        <v>1</v>
      </c>
      <c r="L45" s="411">
        <v>1</v>
      </c>
      <c r="M45" s="412">
        <f t="shared" si="10"/>
        <v>0.25</v>
      </c>
      <c r="N45" s="412">
        <f t="shared" si="11"/>
        <v>0.25</v>
      </c>
      <c r="O45" s="413"/>
      <c r="P45" s="438" t="s">
        <v>402</v>
      </c>
      <c r="Q45" s="439"/>
      <c r="R45" s="440"/>
      <c r="S45" s="440"/>
      <c r="T45" s="435" t="s">
        <v>551</v>
      </c>
      <c r="U45" s="435" t="s">
        <v>410</v>
      </c>
      <c r="V45" s="139"/>
    </row>
    <row r="46" spans="1:22" s="325" customFormat="1" ht="170.25" customHeight="1" x14ac:dyDescent="0.25">
      <c r="A46" s="447">
        <v>0</v>
      </c>
      <c r="B46" s="365"/>
      <c r="C46" s="365"/>
      <c r="D46" s="366"/>
      <c r="E46" s="367"/>
      <c r="F46" s="260"/>
      <c r="G46" s="423" t="s">
        <v>552</v>
      </c>
      <c r="H46" s="430" t="s">
        <v>554</v>
      </c>
      <c r="I46" s="425">
        <v>45989</v>
      </c>
      <c r="J46" s="410">
        <v>45</v>
      </c>
      <c r="K46" s="411">
        <v>1</v>
      </c>
      <c r="L46" s="411">
        <v>1</v>
      </c>
      <c r="M46" s="412">
        <f t="shared" si="10"/>
        <v>0.75</v>
      </c>
      <c r="N46" s="412">
        <f t="shared" si="11"/>
        <v>0.75</v>
      </c>
      <c r="O46" s="413" t="s">
        <v>452</v>
      </c>
      <c r="P46" s="438" t="s">
        <v>558</v>
      </c>
      <c r="Q46" s="428" t="s">
        <v>555</v>
      </c>
      <c r="R46" s="432"/>
      <c r="S46" s="416"/>
      <c r="T46" s="422" t="s">
        <v>556</v>
      </c>
      <c r="U46" s="435" t="s">
        <v>410</v>
      </c>
      <c r="V46" s="139"/>
    </row>
    <row r="47" spans="1:22" s="325" customFormat="1" ht="186.75" customHeight="1" x14ac:dyDescent="0.25">
      <c r="A47" s="447">
        <v>0</v>
      </c>
      <c r="B47" s="365"/>
      <c r="C47" s="365"/>
      <c r="D47" s="366"/>
      <c r="E47" s="367"/>
      <c r="F47" s="260"/>
      <c r="G47" s="423" t="s">
        <v>553</v>
      </c>
      <c r="H47" s="430" t="s">
        <v>557</v>
      </c>
      <c r="I47" s="425">
        <v>45990</v>
      </c>
      <c r="J47" s="410">
        <f>335-40</f>
        <v>295</v>
      </c>
      <c r="K47" s="411">
        <v>1</v>
      </c>
      <c r="L47" s="411"/>
      <c r="M47" s="412">
        <f t="shared" ref="M47:M53" si="14">J47*K47/60</f>
        <v>4.916666666666667</v>
      </c>
      <c r="N47" s="412">
        <f t="shared" ref="N47:N53" si="15">J47*L47/60</f>
        <v>0</v>
      </c>
      <c r="O47" s="413" t="s">
        <v>559</v>
      </c>
      <c r="P47" s="438" t="s">
        <v>558</v>
      </c>
      <c r="Q47" s="428" t="s">
        <v>555</v>
      </c>
      <c r="R47" s="432"/>
      <c r="S47" s="416"/>
      <c r="T47" s="422" t="s">
        <v>556</v>
      </c>
      <c r="U47" s="435" t="s">
        <v>410</v>
      </c>
      <c r="V47" s="139"/>
    </row>
    <row r="48" spans="1:22" s="325" customFormat="1" ht="175.5" customHeight="1" x14ac:dyDescent="0.25">
      <c r="A48" s="447">
        <v>0</v>
      </c>
      <c r="B48" s="365"/>
      <c r="C48" s="365"/>
      <c r="D48" s="366"/>
      <c r="E48" s="367"/>
      <c r="F48" s="260"/>
      <c r="G48" s="423" t="s">
        <v>553</v>
      </c>
      <c r="H48" s="430" t="s">
        <v>557</v>
      </c>
      <c r="I48" s="425">
        <v>45991</v>
      </c>
      <c r="J48" s="410">
        <f>165-20</f>
        <v>145</v>
      </c>
      <c r="K48" s="411">
        <v>1</v>
      </c>
      <c r="L48" s="411"/>
      <c r="M48" s="412">
        <f t="shared" ref="M48:M52" si="16">J48*K48/60</f>
        <v>2.4166666666666665</v>
      </c>
      <c r="N48" s="412">
        <f t="shared" ref="N48:N52" si="17">J48*L48/60</f>
        <v>0</v>
      </c>
      <c r="O48" s="413" t="s">
        <v>561</v>
      </c>
      <c r="P48" s="438" t="s">
        <v>558</v>
      </c>
      <c r="Q48" s="428" t="s">
        <v>555</v>
      </c>
      <c r="R48" s="432"/>
      <c r="S48" s="416"/>
      <c r="T48" s="422" t="s">
        <v>556</v>
      </c>
      <c r="U48" s="435" t="s">
        <v>410</v>
      </c>
      <c r="V48" s="139"/>
    </row>
    <row r="49" spans="1:22" s="325" customFormat="1" ht="175.5" customHeight="1" x14ac:dyDescent="0.25">
      <c r="A49" s="447">
        <v>0</v>
      </c>
      <c r="B49" s="365"/>
      <c r="C49" s="365"/>
      <c r="D49" s="366"/>
      <c r="E49" s="367"/>
      <c r="F49" s="260"/>
      <c r="G49" s="423" t="s">
        <v>553</v>
      </c>
      <c r="H49" s="430" t="s">
        <v>557</v>
      </c>
      <c r="I49" s="425">
        <v>45992</v>
      </c>
      <c r="J49" s="410">
        <v>110</v>
      </c>
      <c r="K49" s="411">
        <v>1</v>
      </c>
      <c r="L49" s="411">
        <v>1</v>
      </c>
      <c r="M49" s="412">
        <f t="shared" si="16"/>
        <v>1.8333333333333333</v>
      </c>
      <c r="N49" s="412">
        <f t="shared" si="17"/>
        <v>1.8333333333333333</v>
      </c>
      <c r="O49" s="413" t="s">
        <v>560</v>
      </c>
      <c r="P49" s="438" t="s">
        <v>558</v>
      </c>
      <c r="Q49" s="428" t="s">
        <v>555</v>
      </c>
      <c r="R49" s="432"/>
      <c r="S49" s="416"/>
      <c r="T49" s="422" t="s">
        <v>556</v>
      </c>
      <c r="U49" s="435" t="s">
        <v>410</v>
      </c>
      <c r="V49" s="139"/>
    </row>
    <row r="50" spans="1:22" s="325" customFormat="1" ht="167.25" customHeight="1" x14ac:dyDescent="0.25">
      <c r="A50" s="447">
        <v>0</v>
      </c>
      <c r="B50" s="365"/>
      <c r="C50" s="365"/>
      <c r="D50" s="366"/>
      <c r="E50" s="367"/>
      <c r="F50" s="260"/>
      <c r="G50" s="423" t="s">
        <v>553</v>
      </c>
      <c r="H50" s="430" t="s">
        <v>557</v>
      </c>
      <c r="I50" s="425">
        <v>45992</v>
      </c>
      <c r="J50" s="410">
        <v>95</v>
      </c>
      <c r="K50" s="411">
        <v>1</v>
      </c>
      <c r="L50" s="411"/>
      <c r="M50" s="412">
        <f t="shared" si="16"/>
        <v>1.5833333333333333</v>
      </c>
      <c r="N50" s="412">
        <f t="shared" si="17"/>
        <v>0</v>
      </c>
      <c r="O50" s="413"/>
      <c r="P50" s="438" t="s">
        <v>558</v>
      </c>
      <c r="Q50" s="428" t="s">
        <v>555</v>
      </c>
      <c r="R50" s="432"/>
      <c r="S50" s="416"/>
      <c r="T50" s="422" t="s">
        <v>556</v>
      </c>
      <c r="U50" s="435" t="s">
        <v>410</v>
      </c>
      <c r="V50" s="139"/>
    </row>
    <row r="51" spans="1:22" s="325" customFormat="1" ht="147.75" customHeight="1" x14ac:dyDescent="0.25">
      <c r="A51" s="447">
        <v>0</v>
      </c>
      <c r="B51" s="365"/>
      <c r="C51" s="365"/>
      <c r="D51" s="366"/>
      <c r="E51" s="367"/>
      <c r="F51" s="260"/>
      <c r="G51" s="423" t="s">
        <v>588</v>
      </c>
      <c r="H51" s="430" t="s">
        <v>562</v>
      </c>
      <c r="I51" s="425">
        <v>46013</v>
      </c>
      <c r="J51" s="410">
        <v>65</v>
      </c>
      <c r="K51" s="411">
        <v>1</v>
      </c>
      <c r="L51" s="411">
        <v>1</v>
      </c>
      <c r="M51" s="412">
        <f t="shared" si="16"/>
        <v>1.0833333333333333</v>
      </c>
      <c r="N51" s="412">
        <f t="shared" si="17"/>
        <v>1.0833333333333333</v>
      </c>
      <c r="O51" s="413" t="s">
        <v>563</v>
      </c>
      <c r="P51" s="438" t="s">
        <v>564</v>
      </c>
      <c r="Q51" s="428" t="s">
        <v>565</v>
      </c>
      <c r="R51" s="432" t="s">
        <v>566</v>
      </c>
      <c r="S51" s="416">
        <f>50/1.19</f>
        <v>42.016806722689076</v>
      </c>
      <c r="T51" s="422" t="s">
        <v>590</v>
      </c>
      <c r="U51" s="435" t="s">
        <v>410</v>
      </c>
      <c r="V51" s="139"/>
    </row>
    <row r="52" spans="1:22" s="325" customFormat="1" ht="84" customHeight="1" x14ac:dyDescent="0.25">
      <c r="A52" s="447">
        <v>0</v>
      </c>
      <c r="B52" s="365"/>
      <c r="C52" s="365"/>
      <c r="D52" s="366"/>
      <c r="E52" s="367"/>
      <c r="F52" s="260"/>
      <c r="G52" s="436"/>
      <c r="H52" s="430"/>
      <c r="I52" s="425"/>
      <c r="J52" s="410"/>
      <c r="K52" s="411"/>
      <c r="L52" s="411"/>
      <c r="M52" s="412">
        <f t="shared" si="16"/>
        <v>0</v>
      </c>
      <c r="N52" s="412">
        <f t="shared" si="17"/>
        <v>0</v>
      </c>
      <c r="O52" s="413"/>
      <c r="P52" s="438"/>
      <c r="Q52" s="428" t="s">
        <v>587</v>
      </c>
      <c r="R52" s="432" t="s">
        <v>716</v>
      </c>
      <c r="S52" s="416">
        <f>M51*17</f>
        <v>18.416666666666664</v>
      </c>
      <c r="T52" s="422"/>
      <c r="U52" s="435" t="s">
        <v>410</v>
      </c>
      <c r="V52" s="139"/>
    </row>
    <row r="53" spans="1:22" s="325" customFormat="1" ht="183" customHeight="1" x14ac:dyDescent="0.25">
      <c r="A53" s="447">
        <v>0</v>
      </c>
      <c r="B53" s="365"/>
      <c r="C53" s="365"/>
      <c r="D53" s="366"/>
      <c r="E53" s="367"/>
      <c r="F53" s="260"/>
      <c r="G53" s="423" t="s">
        <v>567</v>
      </c>
      <c r="H53" s="430" t="s">
        <v>573</v>
      </c>
      <c r="I53" s="425">
        <v>46019</v>
      </c>
      <c r="J53" s="410">
        <v>110</v>
      </c>
      <c r="K53" s="411">
        <v>1</v>
      </c>
      <c r="L53" s="411"/>
      <c r="M53" s="412">
        <f t="shared" si="14"/>
        <v>1.8333333333333333</v>
      </c>
      <c r="N53" s="412">
        <f t="shared" si="15"/>
        <v>0</v>
      </c>
      <c r="O53" s="413" t="s">
        <v>569</v>
      </c>
      <c r="P53" s="438" t="s">
        <v>451</v>
      </c>
      <c r="Q53" s="439" t="s">
        <v>572</v>
      </c>
      <c r="R53" s="432"/>
      <c r="S53" s="416"/>
      <c r="T53" s="422" t="s">
        <v>574</v>
      </c>
      <c r="U53" s="435" t="s">
        <v>410</v>
      </c>
      <c r="V53" s="139"/>
    </row>
    <row r="54" spans="1:22" s="325" customFormat="1" ht="138.75" customHeight="1" x14ac:dyDescent="0.25">
      <c r="A54" s="447">
        <v>0</v>
      </c>
      <c r="B54" s="365"/>
      <c r="C54" s="365"/>
      <c r="D54" s="366"/>
      <c r="E54" s="367"/>
      <c r="F54" s="260"/>
      <c r="G54" s="423" t="s">
        <v>568</v>
      </c>
      <c r="H54" s="430" t="s">
        <v>575</v>
      </c>
      <c r="I54" s="425">
        <v>46021</v>
      </c>
      <c r="J54" s="410">
        <v>170</v>
      </c>
      <c r="K54" s="411">
        <v>1</v>
      </c>
      <c r="L54" s="411"/>
      <c r="M54" s="412">
        <f t="shared" ref="M54:M56" si="18">J54*K54/60</f>
        <v>2.8333333333333335</v>
      </c>
      <c r="N54" s="412">
        <f t="shared" ref="N54:N56" si="19">J54*L54/60</f>
        <v>0</v>
      </c>
      <c r="O54" s="413" t="s">
        <v>452</v>
      </c>
      <c r="P54" s="438" t="s">
        <v>451</v>
      </c>
      <c r="Q54" s="439" t="s">
        <v>582</v>
      </c>
      <c r="R54" s="432"/>
      <c r="S54" s="416"/>
      <c r="T54" s="422" t="s">
        <v>574</v>
      </c>
      <c r="U54" s="435" t="s">
        <v>410</v>
      </c>
      <c r="V54" s="139"/>
    </row>
    <row r="55" spans="1:22" s="325" customFormat="1" ht="125.25" customHeight="1" x14ac:dyDescent="0.25">
      <c r="A55" s="447">
        <v>0</v>
      </c>
      <c r="B55" s="365"/>
      <c r="C55" s="365"/>
      <c r="D55" s="366"/>
      <c r="E55" s="367"/>
      <c r="F55" s="260"/>
      <c r="G55" s="423" t="s">
        <v>568</v>
      </c>
      <c r="H55" s="430" t="s">
        <v>576</v>
      </c>
      <c r="I55" s="425">
        <v>46021</v>
      </c>
      <c r="J55" s="410">
        <v>130</v>
      </c>
      <c r="K55" s="411">
        <v>1</v>
      </c>
      <c r="L55" s="411"/>
      <c r="M55" s="412">
        <f t="shared" si="18"/>
        <v>2.1666666666666665</v>
      </c>
      <c r="N55" s="412">
        <f t="shared" si="19"/>
        <v>0</v>
      </c>
      <c r="O55" s="413" t="s">
        <v>570</v>
      </c>
      <c r="P55" s="438" t="s">
        <v>451</v>
      </c>
      <c r="Q55" s="439" t="s">
        <v>582</v>
      </c>
      <c r="R55" s="432"/>
      <c r="S55" s="416"/>
      <c r="T55" s="422" t="s">
        <v>574</v>
      </c>
      <c r="U55" s="435" t="s">
        <v>410</v>
      </c>
      <c r="V55" s="139"/>
    </row>
    <row r="56" spans="1:22" s="325" customFormat="1" ht="129" customHeight="1" thickBot="1" x14ac:dyDescent="0.3">
      <c r="A56" s="464">
        <v>0</v>
      </c>
      <c r="B56" s="365"/>
      <c r="C56" s="365"/>
      <c r="D56" s="366"/>
      <c r="E56" s="367"/>
      <c r="F56" s="260"/>
      <c r="G56" s="423" t="s">
        <v>568</v>
      </c>
      <c r="H56" s="430" t="s">
        <v>575</v>
      </c>
      <c r="I56" s="425">
        <v>46022</v>
      </c>
      <c r="J56" s="410">
        <v>270</v>
      </c>
      <c r="K56" s="411">
        <v>1</v>
      </c>
      <c r="L56" s="411"/>
      <c r="M56" s="412">
        <f t="shared" si="18"/>
        <v>4.5</v>
      </c>
      <c r="N56" s="412">
        <f t="shared" si="19"/>
        <v>0</v>
      </c>
      <c r="O56" s="413" t="s">
        <v>571</v>
      </c>
      <c r="P56" s="438" t="s">
        <v>451</v>
      </c>
      <c r="Q56" s="439" t="s">
        <v>582</v>
      </c>
      <c r="R56" s="432"/>
      <c r="S56" s="416"/>
      <c r="T56" s="422" t="s">
        <v>574</v>
      </c>
      <c r="U56" s="435" t="s">
        <v>410</v>
      </c>
      <c r="V56" s="139"/>
    </row>
    <row r="57" spans="1:22" s="46" customFormat="1" ht="33" customHeight="1" thickBot="1" x14ac:dyDescent="0.3">
      <c r="A57" s="96">
        <v>0</v>
      </c>
      <c r="B57" s="88">
        <f>SUM(M11:M56)*D7</f>
        <v>960.66666666666674</v>
      </c>
      <c r="C57" s="88">
        <f>SUM(N11:N56)*D8</f>
        <v>108.88333333333333</v>
      </c>
      <c r="D57" s="89">
        <f>SUM(S11:S56)</f>
        <v>4823.0934733893564</v>
      </c>
      <c r="E57" s="90">
        <f>SUM(B57:D57)</f>
        <v>5892.6434733893566</v>
      </c>
      <c r="F57" s="123">
        <f>SUM(V11:V56)</f>
        <v>0</v>
      </c>
      <c r="G57" s="82"/>
      <c r="H57" s="59"/>
      <c r="I57" s="60"/>
      <c r="J57" s="61"/>
      <c r="K57" s="62"/>
      <c r="L57" s="62"/>
      <c r="M57" s="261"/>
      <c r="N57" s="261"/>
      <c r="O57" s="63"/>
      <c r="P57" s="64"/>
      <c r="Q57" s="65"/>
      <c r="R57" s="66"/>
      <c r="S57" s="67"/>
      <c r="T57" s="68"/>
      <c r="U57" s="69"/>
      <c r="V57" s="139"/>
    </row>
    <row r="58" spans="1:22" s="325" customFormat="1" ht="125.25" customHeight="1" x14ac:dyDescent="0.25">
      <c r="A58" s="463">
        <v>1</v>
      </c>
      <c r="B58" s="368"/>
      <c r="C58" s="368"/>
      <c r="D58" s="368"/>
      <c r="E58" s="369"/>
      <c r="F58" s="370"/>
      <c r="G58" s="423" t="s">
        <v>568</v>
      </c>
      <c r="H58" s="430" t="s">
        <v>580</v>
      </c>
      <c r="I58" s="425">
        <v>46026</v>
      </c>
      <c r="J58" s="426">
        <f>360-45</f>
        <v>315</v>
      </c>
      <c r="K58" s="411">
        <v>1</v>
      </c>
      <c r="L58" s="411"/>
      <c r="M58" s="412">
        <f t="shared" ref="M58:M59" si="20">J58*K58/60</f>
        <v>5.25</v>
      </c>
      <c r="N58" s="412">
        <f t="shared" ref="N58:N59" si="21">J58*L58/60</f>
        <v>0</v>
      </c>
      <c r="O58" s="413" t="s">
        <v>581</v>
      </c>
      <c r="P58" s="438" t="s">
        <v>583</v>
      </c>
      <c r="Q58" s="439" t="s">
        <v>582</v>
      </c>
      <c r="R58" s="432"/>
      <c r="S58" s="416"/>
      <c r="T58" s="422" t="s">
        <v>574</v>
      </c>
      <c r="U58" s="417" t="s">
        <v>410</v>
      </c>
      <c r="V58" s="139"/>
    </row>
    <row r="59" spans="1:22" s="325" customFormat="1" ht="94.5" customHeight="1" x14ac:dyDescent="0.25">
      <c r="A59" s="448">
        <v>1</v>
      </c>
      <c r="B59" s="322"/>
      <c r="C59" s="322"/>
      <c r="D59" s="322"/>
      <c r="E59" s="323"/>
      <c r="F59" s="324"/>
      <c r="G59" s="423" t="s">
        <v>577</v>
      </c>
      <c r="H59" s="430" t="s">
        <v>578</v>
      </c>
      <c r="I59" s="425">
        <v>46027</v>
      </c>
      <c r="J59" s="426">
        <v>90</v>
      </c>
      <c r="K59" s="411">
        <v>2</v>
      </c>
      <c r="L59" s="411">
        <v>2</v>
      </c>
      <c r="M59" s="412">
        <f t="shared" si="20"/>
        <v>3</v>
      </c>
      <c r="N59" s="412">
        <f t="shared" si="21"/>
        <v>3</v>
      </c>
      <c r="O59" s="413" t="s">
        <v>452</v>
      </c>
      <c r="P59" s="438" t="s">
        <v>583</v>
      </c>
      <c r="Q59" s="439" t="s">
        <v>584</v>
      </c>
      <c r="R59" s="432"/>
      <c r="S59" s="416"/>
      <c r="T59" s="417"/>
      <c r="U59" s="417" t="s">
        <v>410</v>
      </c>
      <c r="V59" s="139"/>
    </row>
    <row r="60" spans="1:22" s="325" customFormat="1" ht="153" customHeight="1" x14ac:dyDescent="0.25">
      <c r="A60" s="463">
        <v>1</v>
      </c>
      <c r="B60" s="322"/>
      <c r="C60" s="322"/>
      <c r="D60" s="322"/>
      <c r="E60" s="323"/>
      <c r="F60" s="324"/>
      <c r="G60" s="423" t="s">
        <v>577</v>
      </c>
      <c r="H60" s="430" t="s">
        <v>578</v>
      </c>
      <c r="I60" s="425">
        <v>46027</v>
      </c>
      <c r="J60" s="426">
        <v>75</v>
      </c>
      <c r="K60" s="411">
        <v>1</v>
      </c>
      <c r="L60" s="411">
        <v>2</v>
      </c>
      <c r="M60" s="412">
        <f t="shared" ref="M60:M66" si="22">J60*K60/60</f>
        <v>1.25</v>
      </c>
      <c r="N60" s="412">
        <f t="shared" ref="N60:N66" si="23">J60*L60/60</f>
        <v>2.5</v>
      </c>
      <c r="O60" s="413" t="s">
        <v>452</v>
      </c>
      <c r="P60" s="438" t="s">
        <v>583</v>
      </c>
      <c r="Q60" s="439" t="s">
        <v>584</v>
      </c>
      <c r="R60" s="432"/>
      <c r="S60" s="416"/>
      <c r="T60" s="442"/>
      <c r="U60" s="417" t="s">
        <v>410</v>
      </c>
      <c r="V60" s="116"/>
    </row>
    <row r="61" spans="1:22" s="46" customFormat="1" ht="120.75" customHeight="1" x14ac:dyDescent="0.25">
      <c r="A61" s="448">
        <v>1</v>
      </c>
      <c r="B61" s="56"/>
      <c r="C61" s="56"/>
      <c r="D61" s="56"/>
      <c r="E61" s="57"/>
      <c r="F61" s="122"/>
      <c r="G61" s="262" t="s">
        <v>579</v>
      </c>
      <c r="H61" s="263" t="s">
        <v>585</v>
      </c>
      <c r="I61" s="264">
        <v>46027</v>
      </c>
      <c r="J61" s="199">
        <v>60</v>
      </c>
      <c r="K61" s="109">
        <v>1</v>
      </c>
      <c r="L61" s="109">
        <v>1</v>
      </c>
      <c r="M61" s="169">
        <f t="shared" si="22"/>
        <v>1</v>
      </c>
      <c r="N61" s="169">
        <f t="shared" si="23"/>
        <v>1</v>
      </c>
      <c r="O61" s="79" t="s">
        <v>586</v>
      </c>
      <c r="P61" s="265" t="s">
        <v>589</v>
      </c>
      <c r="Q61" s="101" t="s">
        <v>587</v>
      </c>
      <c r="R61" s="102" t="s">
        <v>716</v>
      </c>
      <c r="S61" s="103">
        <f>0.5*17</f>
        <v>8.5</v>
      </c>
      <c r="T61" s="104" t="s">
        <v>590</v>
      </c>
      <c r="U61" s="72" t="s">
        <v>410</v>
      </c>
      <c r="V61" s="116"/>
    </row>
    <row r="62" spans="1:22" s="46" customFormat="1" ht="58.5" customHeight="1" x14ac:dyDescent="0.25">
      <c r="A62" s="463">
        <v>1</v>
      </c>
      <c r="B62" s="56"/>
      <c r="C62" s="56"/>
      <c r="D62" s="56"/>
      <c r="E62" s="57"/>
      <c r="F62" s="122"/>
      <c r="G62" s="200"/>
      <c r="H62" s="197"/>
      <c r="I62" s="264"/>
      <c r="J62" s="198"/>
      <c r="K62" s="109"/>
      <c r="L62" s="109"/>
      <c r="M62" s="169">
        <f t="shared" si="22"/>
        <v>0</v>
      </c>
      <c r="N62" s="169">
        <f t="shared" si="23"/>
        <v>0</v>
      </c>
      <c r="O62" s="79"/>
      <c r="P62" s="110"/>
      <c r="Q62" s="101" t="s">
        <v>592</v>
      </c>
      <c r="R62" s="102" t="s">
        <v>591</v>
      </c>
      <c r="S62" s="103">
        <f>50/1.19</f>
        <v>42.016806722689076</v>
      </c>
      <c r="T62" s="72"/>
      <c r="U62" s="72" t="s">
        <v>410</v>
      </c>
      <c r="V62" s="139"/>
    </row>
    <row r="63" spans="1:22" s="46" customFormat="1" ht="120" customHeight="1" x14ac:dyDescent="0.25">
      <c r="A63" s="463">
        <v>1</v>
      </c>
      <c r="B63" s="56"/>
      <c r="C63" s="56"/>
      <c r="D63" s="56"/>
      <c r="E63" s="57"/>
      <c r="F63" s="122"/>
      <c r="G63" s="423" t="s">
        <v>593</v>
      </c>
      <c r="H63" s="430" t="s">
        <v>597</v>
      </c>
      <c r="I63" s="425">
        <v>46099</v>
      </c>
      <c r="J63" s="426">
        <v>180</v>
      </c>
      <c r="K63" s="411">
        <v>1</v>
      </c>
      <c r="L63" s="411">
        <v>1</v>
      </c>
      <c r="M63" s="412">
        <f t="shared" ref="M63:M65" si="24">J63*K63/60</f>
        <v>3</v>
      </c>
      <c r="N63" s="412">
        <f t="shared" ref="N63:N65" si="25">J63*L63/60</f>
        <v>3</v>
      </c>
      <c r="O63" s="443" t="s">
        <v>596</v>
      </c>
      <c r="P63" s="427" t="s">
        <v>602</v>
      </c>
      <c r="Q63" s="428" t="s">
        <v>767</v>
      </c>
      <c r="R63" s="432" t="s">
        <v>768</v>
      </c>
      <c r="S63" s="416">
        <f>35+17</f>
        <v>52</v>
      </c>
      <c r="T63" s="417"/>
      <c r="U63" s="417" t="s">
        <v>410</v>
      </c>
      <c r="V63" s="139"/>
    </row>
    <row r="64" spans="1:22" s="325" customFormat="1" ht="79.5" customHeight="1" x14ac:dyDescent="0.25">
      <c r="A64" s="463">
        <v>1</v>
      </c>
      <c r="B64" s="322"/>
      <c r="C64" s="322"/>
      <c r="D64" s="322"/>
      <c r="E64" s="323"/>
      <c r="F64" s="324"/>
      <c r="G64" s="423" t="s">
        <v>593</v>
      </c>
      <c r="H64" s="430" t="s">
        <v>598</v>
      </c>
      <c r="I64" s="425">
        <v>46099</v>
      </c>
      <c r="J64" s="426">
        <v>90</v>
      </c>
      <c r="K64" s="411"/>
      <c r="L64" s="411">
        <v>2</v>
      </c>
      <c r="M64" s="412">
        <f t="shared" si="24"/>
        <v>0</v>
      </c>
      <c r="N64" s="412">
        <f t="shared" si="25"/>
        <v>3</v>
      </c>
      <c r="O64" s="443"/>
      <c r="P64" s="427"/>
      <c r="Q64" s="428"/>
      <c r="R64" s="432"/>
      <c r="S64" s="416"/>
      <c r="T64" s="417"/>
      <c r="U64" s="417" t="s">
        <v>410</v>
      </c>
      <c r="V64" s="139"/>
    </row>
    <row r="65" spans="1:22" s="325" customFormat="1" ht="58.5" customHeight="1" x14ac:dyDescent="0.25">
      <c r="A65" s="463">
        <v>1</v>
      </c>
      <c r="B65" s="322"/>
      <c r="C65" s="322"/>
      <c r="D65" s="322"/>
      <c r="E65" s="323"/>
      <c r="F65" s="324"/>
      <c r="G65" s="423" t="s">
        <v>593</v>
      </c>
      <c r="H65" s="430" t="s">
        <v>599</v>
      </c>
      <c r="I65" s="425" t="s">
        <v>100</v>
      </c>
      <c r="J65" s="426">
        <v>150</v>
      </c>
      <c r="K65" s="411">
        <v>1</v>
      </c>
      <c r="L65" s="411"/>
      <c r="M65" s="412">
        <f t="shared" si="24"/>
        <v>2.5</v>
      </c>
      <c r="N65" s="412">
        <f t="shared" si="25"/>
        <v>0</v>
      </c>
      <c r="O65" s="443"/>
      <c r="P65" s="427" t="s">
        <v>594</v>
      </c>
      <c r="Q65" s="428" t="s">
        <v>423</v>
      </c>
      <c r="R65" s="432" t="s">
        <v>769</v>
      </c>
      <c r="S65" s="416">
        <f>M65*15</f>
        <v>37.5</v>
      </c>
      <c r="T65" s="417"/>
      <c r="U65" s="417" t="s">
        <v>410</v>
      </c>
      <c r="V65" s="139"/>
    </row>
    <row r="66" spans="1:22" s="325" customFormat="1" ht="75" customHeight="1" x14ac:dyDescent="0.25">
      <c r="A66" s="463">
        <v>1</v>
      </c>
      <c r="B66" s="322"/>
      <c r="C66" s="322"/>
      <c r="D66" s="322"/>
      <c r="E66" s="323"/>
      <c r="F66" s="324"/>
      <c r="G66" s="473" t="s">
        <v>600</v>
      </c>
      <c r="H66" s="474" t="s">
        <v>601</v>
      </c>
      <c r="I66" s="475">
        <v>46064</v>
      </c>
      <c r="J66" s="444">
        <v>120</v>
      </c>
      <c r="K66" s="411">
        <v>1</v>
      </c>
      <c r="L66" s="411">
        <v>1</v>
      </c>
      <c r="M66" s="412">
        <f t="shared" si="22"/>
        <v>2</v>
      </c>
      <c r="N66" s="412">
        <f t="shared" si="23"/>
        <v>2</v>
      </c>
      <c r="O66" s="441"/>
      <c r="P66" s="469" t="s">
        <v>595</v>
      </c>
      <c r="Q66" s="428" t="s">
        <v>423</v>
      </c>
      <c r="R66" s="432" t="s">
        <v>603</v>
      </c>
      <c r="S66" s="416">
        <f>35*M66</f>
        <v>70</v>
      </c>
      <c r="T66" s="422"/>
      <c r="U66" s="417" t="s">
        <v>410</v>
      </c>
      <c r="V66" s="139"/>
    </row>
    <row r="67" spans="1:22" s="325" customFormat="1" ht="126.75" customHeight="1" x14ac:dyDescent="0.25">
      <c r="A67" s="462">
        <v>1</v>
      </c>
      <c r="B67" s="322"/>
      <c r="C67" s="322"/>
      <c r="D67" s="322"/>
      <c r="E67" s="323"/>
      <c r="F67" s="324"/>
      <c r="G67" s="470" t="s">
        <v>608</v>
      </c>
      <c r="H67" s="471" t="s">
        <v>607</v>
      </c>
      <c r="I67" s="472">
        <v>2026</v>
      </c>
      <c r="J67" s="198">
        <v>60</v>
      </c>
      <c r="K67" s="109">
        <v>1</v>
      </c>
      <c r="L67" s="109"/>
      <c r="M67" s="169">
        <f t="shared" ref="M67" si="26">J67*K67/60</f>
        <v>1</v>
      </c>
      <c r="N67" s="169">
        <f t="shared" ref="N67" si="27">J67*L67/60</f>
        <v>0</v>
      </c>
      <c r="O67" s="79" t="s">
        <v>610</v>
      </c>
      <c r="P67" s="468" t="s">
        <v>605</v>
      </c>
      <c r="Q67" s="101" t="s">
        <v>604</v>
      </c>
      <c r="R67" s="102"/>
      <c r="S67" s="103"/>
      <c r="T67" s="104" t="s">
        <v>611</v>
      </c>
      <c r="U67" s="72" t="s">
        <v>464</v>
      </c>
      <c r="V67" s="116"/>
    </row>
    <row r="68" spans="1:22" s="325" customFormat="1" ht="120.75" customHeight="1" x14ac:dyDescent="0.25">
      <c r="A68" s="462">
        <v>1</v>
      </c>
      <c r="B68" s="322"/>
      <c r="C68" s="322"/>
      <c r="D68" s="322"/>
      <c r="E68" s="323"/>
      <c r="F68" s="324"/>
      <c r="G68" s="200" t="s">
        <v>609</v>
      </c>
      <c r="H68" s="202" t="s">
        <v>606</v>
      </c>
      <c r="I68" s="168">
        <v>2026</v>
      </c>
      <c r="J68" s="199">
        <v>60</v>
      </c>
      <c r="K68" s="109">
        <v>1</v>
      </c>
      <c r="L68" s="109"/>
      <c r="M68" s="169">
        <f t="shared" ref="M68" si="28">J68*K68/60</f>
        <v>1</v>
      </c>
      <c r="N68" s="169">
        <f t="shared" ref="N68" si="29">J68*L68/60</f>
        <v>0</v>
      </c>
      <c r="O68" s="79" t="s">
        <v>610</v>
      </c>
      <c r="P68" s="110" t="s">
        <v>605</v>
      </c>
      <c r="Q68" s="101" t="s">
        <v>604</v>
      </c>
      <c r="R68" s="102"/>
      <c r="S68" s="103"/>
      <c r="T68" s="104" t="s">
        <v>611</v>
      </c>
      <c r="U68" s="72" t="s">
        <v>464</v>
      </c>
      <c r="V68" s="139"/>
    </row>
    <row r="69" spans="1:22" s="325" customFormat="1" ht="176.25" customHeight="1" x14ac:dyDescent="0.25">
      <c r="A69" s="462">
        <v>1</v>
      </c>
      <c r="B69" s="322"/>
      <c r="C69" s="322"/>
      <c r="D69" s="322"/>
      <c r="E69" s="323"/>
      <c r="F69" s="324"/>
      <c r="G69" s="172" t="s">
        <v>616</v>
      </c>
      <c r="H69" s="202" t="s">
        <v>453</v>
      </c>
      <c r="I69" s="168">
        <v>2026</v>
      </c>
      <c r="J69" s="199">
        <v>360</v>
      </c>
      <c r="K69" s="109">
        <v>1</v>
      </c>
      <c r="L69" s="109"/>
      <c r="M69" s="169">
        <f t="shared" ref="M69:M71" si="30">J69*K69/60</f>
        <v>6</v>
      </c>
      <c r="N69" s="169">
        <f t="shared" ref="N69:N71" si="31">J69*L69/60</f>
        <v>0</v>
      </c>
      <c r="O69" s="79" t="s">
        <v>615</v>
      </c>
      <c r="P69" s="110" t="s">
        <v>454</v>
      </c>
      <c r="Q69" s="101" t="s">
        <v>613</v>
      </c>
      <c r="R69" s="102" t="s">
        <v>614</v>
      </c>
      <c r="S69" s="103"/>
      <c r="T69" s="104" t="s">
        <v>617</v>
      </c>
      <c r="U69" s="72" t="s">
        <v>464</v>
      </c>
      <c r="V69" s="196"/>
    </row>
    <row r="70" spans="1:22" s="325" customFormat="1" x14ac:dyDescent="0.25">
      <c r="A70" s="462">
        <v>1</v>
      </c>
      <c r="B70" s="322"/>
      <c r="C70" s="322"/>
      <c r="D70" s="322"/>
      <c r="E70" s="323"/>
      <c r="F70" s="324"/>
      <c r="G70" s="200"/>
      <c r="H70" s="202"/>
      <c r="I70" s="168"/>
      <c r="J70" s="199"/>
      <c r="K70" s="109"/>
      <c r="L70" s="109"/>
      <c r="M70" s="169">
        <f t="shared" si="30"/>
        <v>0</v>
      </c>
      <c r="N70" s="169">
        <f t="shared" si="31"/>
        <v>0</v>
      </c>
      <c r="O70" s="79"/>
      <c r="P70" s="110"/>
      <c r="Q70" s="101" t="s">
        <v>423</v>
      </c>
      <c r="R70" s="102" t="s">
        <v>466</v>
      </c>
      <c r="S70" s="103">
        <f>5.75*27</f>
        <v>155.25</v>
      </c>
      <c r="T70" s="104"/>
      <c r="U70" s="170" t="s">
        <v>410</v>
      </c>
      <c r="V70" s="196"/>
    </row>
    <row r="71" spans="1:22" s="325" customFormat="1" ht="116.25" customHeight="1" x14ac:dyDescent="0.25">
      <c r="A71" s="462">
        <v>1</v>
      </c>
      <c r="B71" s="322"/>
      <c r="C71" s="322"/>
      <c r="D71" s="322"/>
      <c r="E71" s="323"/>
      <c r="F71" s="324"/>
      <c r="G71" s="200" t="s">
        <v>620</v>
      </c>
      <c r="H71" s="202" t="s">
        <v>619</v>
      </c>
      <c r="I71" s="168">
        <v>2026</v>
      </c>
      <c r="J71" s="199">
        <v>240</v>
      </c>
      <c r="K71" s="109">
        <v>1</v>
      </c>
      <c r="L71" s="109"/>
      <c r="M71" s="169">
        <f t="shared" si="30"/>
        <v>4</v>
      </c>
      <c r="N71" s="169">
        <f t="shared" si="31"/>
        <v>0</v>
      </c>
      <c r="O71" s="79" t="s">
        <v>452</v>
      </c>
      <c r="P71" s="110" t="s">
        <v>618</v>
      </c>
      <c r="Q71" s="101"/>
      <c r="R71" s="102"/>
      <c r="S71" s="103"/>
      <c r="T71" s="104"/>
      <c r="U71" s="170" t="s">
        <v>410</v>
      </c>
      <c r="V71" s="196"/>
    </row>
    <row r="72" spans="1:22" s="371" customFormat="1" ht="90.75" customHeight="1" thickBot="1" x14ac:dyDescent="0.3">
      <c r="A72" s="462">
        <v>1</v>
      </c>
      <c r="B72" s="322"/>
      <c r="C72" s="322"/>
      <c r="D72" s="322"/>
      <c r="E72" s="323"/>
      <c r="F72" s="324"/>
      <c r="G72" s="201" t="s">
        <v>621</v>
      </c>
      <c r="H72" s="202" t="s">
        <v>622</v>
      </c>
      <c r="I72" s="171">
        <v>2026</v>
      </c>
      <c r="J72" s="105">
        <v>15</v>
      </c>
      <c r="K72" s="106">
        <v>1</v>
      </c>
      <c r="L72" s="106"/>
      <c r="M72" s="169">
        <f t="shared" ref="M72" si="32">J72*K72/60</f>
        <v>0.25</v>
      </c>
      <c r="N72" s="169">
        <f t="shared" ref="N72" si="33">J72*L72/60</f>
        <v>0</v>
      </c>
      <c r="O72" s="79" t="s">
        <v>623</v>
      </c>
      <c r="P72" s="170"/>
      <c r="Q72" s="172" t="s">
        <v>624</v>
      </c>
      <c r="R72" s="109" t="s">
        <v>625</v>
      </c>
      <c r="S72" s="173">
        <f>((46*10+36*5)/60*56.25)*(1+2%)^1</f>
        <v>612</v>
      </c>
      <c r="T72" s="111" t="s">
        <v>645</v>
      </c>
      <c r="U72" s="170" t="s">
        <v>626</v>
      </c>
      <c r="V72" s="139"/>
    </row>
    <row r="73" spans="1:22" s="78" customFormat="1" ht="36" customHeight="1" thickBot="1" x14ac:dyDescent="0.3">
      <c r="A73" s="87">
        <v>1</v>
      </c>
      <c r="B73" s="98">
        <f>(SUM(M58:M72)*D7)*(1+2%)^1</f>
        <v>678.81000000000006</v>
      </c>
      <c r="C73" s="98">
        <f>(SUM(N58:N72)*D8)*(1+2%)^1</f>
        <v>205.58100000000002</v>
      </c>
      <c r="D73" s="88">
        <f>SUM(S58:S72)</f>
        <v>977.26680672268913</v>
      </c>
      <c r="E73" s="99">
        <f>SUM(B73:D73)</f>
        <v>1861.6578067226892</v>
      </c>
      <c r="F73" s="123">
        <f>SUM(V58:V72)</f>
        <v>0</v>
      </c>
      <c r="G73" s="174"/>
      <c r="H73" s="73"/>
      <c r="I73" s="175"/>
      <c r="J73" s="74"/>
      <c r="K73" s="75"/>
      <c r="L73" s="75"/>
      <c r="M73" s="75"/>
      <c r="N73" s="75"/>
      <c r="O73" s="76"/>
      <c r="P73" s="176"/>
      <c r="Q73" s="177"/>
      <c r="R73" s="178"/>
      <c r="S73" s="179"/>
      <c r="T73" s="77"/>
      <c r="U73" s="180"/>
      <c r="V73" s="144"/>
    </row>
    <row r="74" spans="1:22" s="371" customFormat="1" ht="137.25" customHeight="1" x14ac:dyDescent="0.25">
      <c r="A74" s="456">
        <v>2</v>
      </c>
      <c r="B74" s="322"/>
      <c r="C74" s="322"/>
      <c r="D74" s="322"/>
      <c r="E74" s="323"/>
      <c r="F74" s="324"/>
      <c r="G74" s="200" t="s">
        <v>608</v>
      </c>
      <c r="H74" s="202" t="s">
        <v>607</v>
      </c>
      <c r="I74" s="168">
        <v>2027</v>
      </c>
      <c r="J74" s="198">
        <v>60</v>
      </c>
      <c r="K74" s="109">
        <v>1</v>
      </c>
      <c r="L74" s="182"/>
      <c r="M74" s="169">
        <f>J74*K74/60</f>
        <v>1</v>
      </c>
      <c r="N74" s="169">
        <f>J74*L74/60</f>
        <v>0</v>
      </c>
      <c r="O74" s="79" t="s">
        <v>610</v>
      </c>
      <c r="P74" s="110" t="s">
        <v>605</v>
      </c>
      <c r="Q74" s="101" t="s">
        <v>604</v>
      </c>
      <c r="R74" s="102"/>
      <c r="S74" s="103"/>
      <c r="T74" s="104" t="s">
        <v>611</v>
      </c>
      <c r="U74" s="72" t="s">
        <v>464</v>
      </c>
      <c r="V74" s="144"/>
    </row>
    <row r="75" spans="1:22" s="371" customFormat="1" ht="129.75" customHeight="1" x14ac:dyDescent="0.25">
      <c r="A75" s="461">
        <v>2</v>
      </c>
      <c r="B75" s="365"/>
      <c r="C75" s="365"/>
      <c r="D75" s="365"/>
      <c r="E75" s="372"/>
      <c r="F75" s="260"/>
      <c r="G75" s="200" t="s">
        <v>609</v>
      </c>
      <c r="H75" s="202" t="s">
        <v>606</v>
      </c>
      <c r="I75" s="168">
        <v>2027</v>
      </c>
      <c r="J75" s="199">
        <v>60</v>
      </c>
      <c r="K75" s="109">
        <v>1</v>
      </c>
      <c r="L75" s="106"/>
      <c r="M75" s="169">
        <f>J75*K75/60</f>
        <v>1</v>
      </c>
      <c r="N75" s="169">
        <f>J75*L75/60</f>
        <v>0</v>
      </c>
      <c r="O75" s="79" t="s">
        <v>610</v>
      </c>
      <c r="P75" s="110" t="s">
        <v>605</v>
      </c>
      <c r="Q75" s="101" t="s">
        <v>604</v>
      </c>
      <c r="R75" s="102"/>
      <c r="S75" s="103"/>
      <c r="T75" s="104" t="s">
        <v>611</v>
      </c>
      <c r="U75" s="72" t="s">
        <v>464</v>
      </c>
      <c r="V75" s="204"/>
    </row>
    <row r="76" spans="1:22" s="371" customFormat="1" ht="93.75" customHeight="1" x14ac:dyDescent="0.25">
      <c r="A76" s="456">
        <v>2</v>
      </c>
      <c r="B76" s="322"/>
      <c r="C76" s="322"/>
      <c r="D76" s="322"/>
      <c r="E76" s="323"/>
      <c r="F76" s="324"/>
      <c r="G76" s="200" t="s">
        <v>620</v>
      </c>
      <c r="H76" s="202" t="s">
        <v>619</v>
      </c>
      <c r="I76" s="168">
        <v>2027</v>
      </c>
      <c r="J76" s="199">
        <v>240</v>
      </c>
      <c r="K76" s="109">
        <v>1</v>
      </c>
      <c r="L76" s="109"/>
      <c r="M76" s="169">
        <f t="shared" ref="M76" si="34">J76*K76/60</f>
        <v>4</v>
      </c>
      <c r="N76" s="169">
        <f t="shared" ref="N76" si="35">J76*L76/60</f>
        <v>0</v>
      </c>
      <c r="O76" s="79" t="s">
        <v>452</v>
      </c>
      <c r="P76" s="110" t="s">
        <v>618</v>
      </c>
      <c r="Q76" s="101"/>
      <c r="R76" s="102"/>
      <c r="S76" s="103"/>
      <c r="T76" s="104"/>
      <c r="U76" s="170" t="s">
        <v>410</v>
      </c>
      <c r="V76" s="144"/>
    </row>
    <row r="77" spans="1:22" s="371" customFormat="1" ht="103.5" customHeight="1" x14ac:dyDescent="0.25">
      <c r="A77" s="461">
        <v>2</v>
      </c>
      <c r="B77" s="322"/>
      <c r="C77" s="322"/>
      <c r="D77" s="322"/>
      <c r="E77" s="323"/>
      <c r="F77" s="324"/>
      <c r="G77" s="201" t="s">
        <v>621</v>
      </c>
      <c r="H77" s="202" t="s">
        <v>622</v>
      </c>
      <c r="I77" s="168">
        <v>2027</v>
      </c>
      <c r="J77" s="105">
        <v>15</v>
      </c>
      <c r="K77" s="106">
        <v>1</v>
      </c>
      <c r="L77" s="109"/>
      <c r="M77" s="169">
        <f t="shared" ref="M77" si="36">J77*K77/60</f>
        <v>0.25</v>
      </c>
      <c r="N77" s="169">
        <f t="shared" ref="N77" si="37">J77*L77/60</f>
        <v>0</v>
      </c>
      <c r="O77" s="79" t="s">
        <v>623</v>
      </c>
      <c r="P77" s="170"/>
      <c r="Q77" s="172" t="s">
        <v>624</v>
      </c>
      <c r="R77" s="109" t="s">
        <v>625</v>
      </c>
      <c r="S77" s="173">
        <f>((46*10+36*5)/60*56.25)*(1+2%)^2</f>
        <v>624.24</v>
      </c>
      <c r="T77" s="111" t="s">
        <v>645</v>
      </c>
      <c r="U77" s="170" t="s">
        <v>626</v>
      </c>
      <c r="V77" s="204"/>
    </row>
    <row r="78" spans="1:22" s="371" customFormat="1" ht="110.25" customHeight="1" x14ac:dyDescent="0.25">
      <c r="A78" s="456">
        <v>2</v>
      </c>
      <c r="B78" s="322"/>
      <c r="C78" s="322"/>
      <c r="D78" s="322"/>
      <c r="E78" s="323"/>
      <c r="F78" s="324"/>
      <c r="G78" s="201"/>
      <c r="H78" s="202"/>
      <c r="I78" s="168">
        <v>2027</v>
      </c>
      <c r="J78" s="198"/>
      <c r="K78" s="109"/>
      <c r="L78" s="109"/>
      <c r="M78" s="169">
        <f t="shared" ref="M78" si="38">J78*K78/60</f>
        <v>0</v>
      </c>
      <c r="N78" s="169">
        <f t="shared" ref="N78" si="39">J78*L78/60</f>
        <v>0</v>
      </c>
      <c r="O78" s="79"/>
      <c r="P78" s="110"/>
      <c r="Q78" s="101"/>
      <c r="R78" s="102"/>
      <c r="S78" s="103"/>
      <c r="T78" s="205"/>
      <c r="U78" s="72" t="s">
        <v>410</v>
      </c>
      <c r="V78" s="204"/>
    </row>
    <row r="79" spans="1:22" s="371" customFormat="1" ht="123.75" customHeight="1" thickBot="1" x14ac:dyDescent="0.3">
      <c r="A79" s="461">
        <v>2</v>
      </c>
      <c r="B79" s="322"/>
      <c r="C79" s="322"/>
      <c r="D79" s="322"/>
      <c r="E79" s="323"/>
      <c r="F79" s="324"/>
      <c r="G79" s="181"/>
      <c r="H79" s="70"/>
      <c r="I79" s="171">
        <v>2027</v>
      </c>
      <c r="J79" s="108"/>
      <c r="K79" s="109"/>
      <c r="L79" s="109"/>
      <c r="M79" s="169">
        <f>J79*K79/60</f>
        <v>0</v>
      </c>
      <c r="N79" s="169">
        <f>J79*L79/60</f>
        <v>0</v>
      </c>
      <c r="O79" s="79"/>
      <c r="P79" s="110"/>
      <c r="Q79" s="172"/>
      <c r="R79" s="109"/>
      <c r="S79" s="173"/>
      <c r="T79" s="107"/>
      <c r="U79" s="72" t="s">
        <v>410</v>
      </c>
      <c r="V79" s="139"/>
    </row>
    <row r="80" spans="1:22" s="78" customFormat="1" ht="36" customHeight="1" thickBot="1" x14ac:dyDescent="0.3">
      <c r="A80" s="87">
        <v>2</v>
      </c>
      <c r="B80" s="98">
        <f>(SUM(M74:M79)*D7)*(1+2%)^2</f>
        <v>143.05500000000001</v>
      </c>
      <c r="C80" s="98">
        <f>(SUM(N74:N79)*D8)*(1+2%)^2</f>
        <v>0</v>
      </c>
      <c r="D80" s="88">
        <f>SUM(S74:S79)</f>
        <v>624.24</v>
      </c>
      <c r="E80" s="99">
        <f>SUM(B80:D80)</f>
        <v>767.29500000000007</v>
      </c>
      <c r="F80" s="123">
        <f>SUM(V74:V79)</f>
        <v>0</v>
      </c>
      <c r="G80" s="174"/>
      <c r="H80" s="73"/>
      <c r="I80" s="175"/>
      <c r="J80" s="74"/>
      <c r="K80" s="75"/>
      <c r="L80" s="75"/>
      <c r="M80" s="75"/>
      <c r="N80" s="75"/>
      <c r="O80" s="76"/>
      <c r="P80" s="176"/>
      <c r="Q80" s="177"/>
      <c r="R80" s="178"/>
      <c r="S80" s="179"/>
      <c r="T80" s="77"/>
      <c r="U80" s="180"/>
      <c r="V80" s="144"/>
    </row>
    <row r="81" spans="1:22" s="371" customFormat="1" ht="132.75" customHeight="1" x14ac:dyDescent="0.25">
      <c r="A81" s="456">
        <v>3</v>
      </c>
      <c r="B81" s="322"/>
      <c r="C81" s="322"/>
      <c r="D81" s="322"/>
      <c r="E81" s="323"/>
      <c r="F81" s="324"/>
      <c r="G81" s="200" t="s">
        <v>608</v>
      </c>
      <c r="H81" s="202" t="s">
        <v>607</v>
      </c>
      <c r="I81" s="171">
        <v>2028</v>
      </c>
      <c r="J81" s="198">
        <v>60</v>
      </c>
      <c r="K81" s="109">
        <v>1</v>
      </c>
      <c r="L81" s="182"/>
      <c r="M81" s="169">
        <f>J81*K81/60</f>
        <v>1</v>
      </c>
      <c r="N81" s="169">
        <f>J81*L81/60</f>
        <v>0</v>
      </c>
      <c r="O81" s="79" t="s">
        <v>610</v>
      </c>
      <c r="P81" s="110" t="s">
        <v>605</v>
      </c>
      <c r="Q81" s="101" t="s">
        <v>604</v>
      </c>
      <c r="R81" s="102"/>
      <c r="S81" s="103"/>
      <c r="T81" s="104" t="s">
        <v>611</v>
      </c>
      <c r="U81" s="72" t="s">
        <v>464</v>
      </c>
      <c r="V81" s="144"/>
    </row>
    <row r="82" spans="1:22" s="371" customFormat="1" ht="132.75" customHeight="1" x14ac:dyDescent="0.25">
      <c r="A82" s="456">
        <v>3</v>
      </c>
      <c r="B82" s="322"/>
      <c r="C82" s="322"/>
      <c r="D82" s="322"/>
      <c r="E82" s="323"/>
      <c r="F82" s="324"/>
      <c r="G82" s="201" t="s">
        <v>609</v>
      </c>
      <c r="H82" s="202" t="s">
        <v>606</v>
      </c>
      <c r="I82" s="171">
        <v>2028</v>
      </c>
      <c r="J82" s="199">
        <v>60</v>
      </c>
      <c r="K82" s="109">
        <v>1</v>
      </c>
      <c r="L82" s="182"/>
      <c r="M82" s="169">
        <f t="shared" ref="M82:M85" si="40">J82*K82/60</f>
        <v>1</v>
      </c>
      <c r="N82" s="169">
        <f t="shared" ref="N82:N85" si="41">J82*L82/60</f>
        <v>0</v>
      </c>
      <c r="O82" s="79" t="s">
        <v>610</v>
      </c>
      <c r="P82" s="110" t="s">
        <v>605</v>
      </c>
      <c r="Q82" s="172" t="s">
        <v>604</v>
      </c>
      <c r="R82" s="109"/>
      <c r="S82" s="173"/>
      <c r="T82" s="111" t="s">
        <v>611</v>
      </c>
      <c r="U82" s="72" t="s">
        <v>464</v>
      </c>
      <c r="V82" s="144"/>
    </row>
    <row r="83" spans="1:22" s="371" customFormat="1" ht="62.25" customHeight="1" x14ac:dyDescent="0.25">
      <c r="A83" s="457">
        <v>3</v>
      </c>
      <c r="B83" s="322"/>
      <c r="C83" s="322"/>
      <c r="D83" s="322"/>
      <c r="E83" s="323"/>
      <c r="F83" s="324"/>
      <c r="G83" s="201" t="s">
        <v>620</v>
      </c>
      <c r="H83" s="202" t="s">
        <v>619</v>
      </c>
      <c r="I83" s="171">
        <v>2028</v>
      </c>
      <c r="J83" s="199">
        <v>240</v>
      </c>
      <c r="K83" s="109">
        <v>1</v>
      </c>
      <c r="L83" s="182"/>
      <c r="M83" s="169">
        <f t="shared" ref="M83" si="42">J83*K83/60</f>
        <v>4</v>
      </c>
      <c r="N83" s="169">
        <f t="shared" ref="N83" si="43">J83*L83/60</f>
        <v>0</v>
      </c>
      <c r="O83" s="79" t="s">
        <v>452</v>
      </c>
      <c r="P83" s="110" t="s">
        <v>618</v>
      </c>
      <c r="Q83" s="172"/>
      <c r="R83" s="109"/>
      <c r="S83" s="173"/>
      <c r="T83" s="111"/>
      <c r="U83" s="170" t="s">
        <v>410</v>
      </c>
      <c r="V83" s="144"/>
    </row>
    <row r="84" spans="1:22" s="371" customFormat="1" ht="102.75" customHeight="1" x14ac:dyDescent="0.25">
      <c r="A84" s="457">
        <v>3</v>
      </c>
      <c r="B84" s="322"/>
      <c r="C84" s="322"/>
      <c r="D84" s="322"/>
      <c r="E84" s="323"/>
      <c r="F84" s="260"/>
      <c r="G84" s="201" t="s">
        <v>621</v>
      </c>
      <c r="H84" s="202" t="s">
        <v>622</v>
      </c>
      <c r="I84" s="171">
        <v>2028</v>
      </c>
      <c r="J84" s="105">
        <v>15</v>
      </c>
      <c r="K84" s="106">
        <v>1</v>
      </c>
      <c r="L84" s="182"/>
      <c r="M84" s="169">
        <f t="shared" si="40"/>
        <v>0.25</v>
      </c>
      <c r="N84" s="169">
        <f t="shared" si="41"/>
        <v>0</v>
      </c>
      <c r="O84" s="79" t="s">
        <v>623</v>
      </c>
      <c r="P84" s="170"/>
      <c r="Q84" s="172" t="s">
        <v>624</v>
      </c>
      <c r="R84" s="109" t="s">
        <v>625</v>
      </c>
      <c r="S84" s="173">
        <f>((46*10+36*5)/60*56.25)*(1+2%)^3</f>
        <v>636.72479999999996</v>
      </c>
      <c r="T84" s="111" t="s">
        <v>646</v>
      </c>
      <c r="U84" s="170" t="s">
        <v>626</v>
      </c>
      <c r="V84" s="144"/>
    </row>
    <row r="85" spans="1:22" s="371" customFormat="1" ht="106.5" customHeight="1" x14ac:dyDescent="0.25">
      <c r="A85" s="457">
        <v>3</v>
      </c>
      <c r="B85" s="322"/>
      <c r="C85" s="322"/>
      <c r="D85" s="322"/>
      <c r="E85" s="451"/>
      <c r="F85" s="324"/>
      <c r="G85" s="449" t="s">
        <v>628</v>
      </c>
      <c r="H85" s="70" t="s">
        <v>636</v>
      </c>
      <c r="I85" s="171">
        <v>2028</v>
      </c>
      <c r="J85" s="105">
        <v>120</v>
      </c>
      <c r="K85" s="182">
        <v>1</v>
      </c>
      <c r="L85" s="182"/>
      <c r="M85" s="169">
        <f t="shared" si="40"/>
        <v>2</v>
      </c>
      <c r="N85" s="169">
        <f t="shared" si="41"/>
        <v>0</v>
      </c>
      <c r="O85" s="267" t="s">
        <v>452</v>
      </c>
      <c r="P85" s="100"/>
      <c r="Q85" s="268" t="s">
        <v>630</v>
      </c>
      <c r="R85" s="272" t="s">
        <v>633</v>
      </c>
      <c r="S85" s="183"/>
      <c r="T85" s="203" t="s">
        <v>629</v>
      </c>
      <c r="U85" s="72" t="s">
        <v>410</v>
      </c>
      <c r="V85" s="144"/>
    </row>
    <row r="86" spans="1:22" s="371" customFormat="1" ht="51" customHeight="1" x14ac:dyDescent="0.25">
      <c r="A86" s="457">
        <v>3</v>
      </c>
      <c r="B86" s="322"/>
      <c r="C86" s="322"/>
      <c r="D86" s="322"/>
      <c r="E86" s="451"/>
      <c r="F86" s="324"/>
      <c r="G86" s="449"/>
      <c r="H86" s="266"/>
      <c r="I86" s="171">
        <v>2028</v>
      </c>
      <c r="J86" s="105"/>
      <c r="K86" s="182"/>
      <c r="L86" s="182"/>
      <c r="M86" s="169">
        <f t="shared" ref="M86:M89" si="44">J86*K86/60</f>
        <v>0</v>
      </c>
      <c r="N86" s="169">
        <f t="shared" ref="N86:N89" si="45">J86*L86/60</f>
        <v>0</v>
      </c>
      <c r="O86" s="267"/>
      <c r="P86" s="100"/>
      <c r="Q86" s="268" t="s">
        <v>637</v>
      </c>
      <c r="R86" s="272" t="s">
        <v>638</v>
      </c>
      <c r="S86" s="183">
        <f>4.4*3</f>
        <v>13.200000000000001</v>
      </c>
      <c r="T86" s="203" t="s">
        <v>640</v>
      </c>
      <c r="U86" s="72"/>
      <c r="V86" s="144"/>
    </row>
    <row r="87" spans="1:22" s="371" customFormat="1" ht="45.75" customHeight="1" x14ac:dyDescent="0.25">
      <c r="A87" s="457">
        <v>3</v>
      </c>
      <c r="B87" s="322"/>
      <c r="C87" s="322"/>
      <c r="D87" s="322"/>
      <c r="E87" s="451"/>
      <c r="F87" s="324"/>
      <c r="G87" s="449"/>
      <c r="H87" s="266"/>
      <c r="I87" s="171">
        <v>2028</v>
      </c>
      <c r="J87" s="105"/>
      <c r="K87" s="182"/>
      <c r="L87" s="182"/>
      <c r="M87" s="169">
        <f t="shared" si="44"/>
        <v>0</v>
      </c>
      <c r="N87" s="169">
        <f t="shared" si="45"/>
        <v>0</v>
      </c>
      <c r="O87" s="267"/>
      <c r="P87" s="100"/>
      <c r="Q87" s="268" t="s">
        <v>494</v>
      </c>
      <c r="R87" s="272" t="s">
        <v>638</v>
      </c>
      <c r="S87" s="183">
        <f>2.15*3</f>
        <v>6.4499999999999993</v>
      </c>
      <c r="T87" s="203" t="s">
        <v>639</v>
      </c>
      <c r="U87" s="72"/>
      <c r="V87" s="144"/>
    </row>
    <row r="88" spans="1:22" s="371" customFormat="1" ht="36.75" customHeight="1" x14ac:dyDescent="0.25">
      <c r="A88" s="457">
        <v>3</v>
      </c>
      <c r="B88" s="322"/>
      <c r="C88" s="322"/>
      <c r="D88" s="322"/>
      <c r="E88" s="451"/>
      <c r="F88" s="324"/>
      <c r="G88" s="449"/>
      <c r="H88" s="266"/>
      <c r="I88" s="171">
        <v>2028</v>
      </c>
      <c r="J88" s="105"/>
      <c r="K88" s="182"/>
      <c r="L88" s="182"/>
      <c r="M88" s="169">
        <f t="shared" si="44"/>
        <v>0</v>
      </c>
      <c r="N88" s="169">
        <f t="shared" si="45"/>
        <v>0</v>
      </c>
      <c r="O88" s="267"/>
      <c r="P88" s="100"/>
      <c r="Q88" s="268" t="s">
        <v>632</v>
      </c>
      <c r="R88" s="272" t="s">
        <v>633</v>
      </c>
      <c r="S88" s="183">
        <f>31*3</f>
        <v>93</v>
      </c>
      <c r="T88" s="203" t="s">
        <v>635</v>
      </c>
      <c r="U88" s="72" t="s">
        <v>410</v>
      </c>
      <c r="V88" s="144"/>
    </row>
    <row r="89" spans="1:22" s="371" customFormat="1" x14ac:dyDescent="0.25">
      <c r="A89" s="457">
        <v>3</v>
      </c>
      <c r="B89" s="322"/>
      <c r="C89" s="322"/>
      <c r="D89" s="322"/>
      <c r="E89" s="451"/>
      <c r="F89" s="324"/>
      <c r="G89" s="181"/>
      <c r="H89" s="266"/>
      <c r="I89" s="171">
        <v>2028</v>
      </c>
      <c r="J89" s="105"/>
      <c r="K89" s="182"/>
      <c r="L89" s="182"/>
      <c r="M89" s="169">
        <f t="shared" si="44"/>
        <v>0</v>
      </c>
      <c r="N89" s="169">
        <f t="shared" si="45"/>
        <v>0</v>
      </c>
      <c r="O89" s="267"/>
      <c r="P89" s="100"/>
      <c r="Q89" s="268" t="s">
        <v>631</v>
      </c>
      <c r="R89" s="106" t="s">
        <v>634</v>
      </c>
      <c r="S89" s="183">
        <v>4</v>
      </c>
      <c r="T89" s="203"/>
      <c r="U89" s="72" t="s">
        <v>410</v>
      </c>
      <c r="V89" s="144"/>
    </row>
    <row r="90" spans="1:22" s="371" customFormat="1" ht="92.25" customHeight="1" x14ac:dyDescent="0.25">
      <c r="A90" s="457">
        <v>3</v>
      </c>
      <c r="B90" s="322"/>
      <c r="C90" s="322"/>
      <c r="D90" s="322"/>
      <c r="E90" s="451"/>
      <c r="F90" s="324"/>
      <c r="G90" s="113" t="s">
        <v>752</v>
      </c>
      <c r="H90" s="184" t="s">
        <v>761</v>
      </c>
      <c r="I90" s="185">
        <v>2028</v>
      </c>
      <c r="J90" s="278">
        <f>Haselnusserlös!A37/2</f>
        <v>79.2</v>
      </c>
      <c r="K90" s="186">
        <v>1</v>
      </c>
      <c r="L90" s="186">
        <v>1</v>
      </c>
      <c r="M90" s="187">
        <f t="shared" ref="M90" si="46">J90*K90/60</f>
        <v>1.32</v>
      </c>
      <c r="N90" s="187">
        <f t="shared" ref="N90" si="47">J90*L90/60</f>
        <v>1.32</v>
      </c>
      <c r="O90" s="188" t="s">
        <v>760</v>
      </c>
      <c r="P90" s="279" t="s">
        <v>754</v>
      </c>
      <c r="Q90" s="315" t="s">
        <v>762</v>
      </c>
      <c r="R90" s="190" t="s">
        <v>763</v>
      </c>
      <c r="S90" s="191"/>
      <c r="T90" s="316" t="s">
        <v>764</v>
      </c>
      <c r="U90" s="316" t="s">
        <v>469</v>
      </c>
      <c r="V90" s="144">
        <f>Haselnusserlös!A30*(1+3%)^3</f>
        <v>576.95985599999995</v>
      </c>
    </row>
    <row r="91" spans="1:22" s="371" customFormat="1" ht="58.5" customHeight="1" thickBot="1" x14ac:dyDescent="0.3">
      <c r="A91" s="457">
        <v>3</v>
      </c>
      <c r="B91" s="373"/>
      <c r="C91" s="373"/>
      <c r="D91" s="373"/>
      <c r="E91" s="374"/>
      <c r="F91" s="452"/>
      <c r="G91" s="113"/>
      <c r="H91" s="184"/>
      <c r="I91" s="185">
        <v>2028</v>
      </c>
      <c r="J91" s="112"/>
      <c r="K91" s="186"/>
      <c r="L91" s="186"/>
      <c r="M91" s="187">
        <f t="shared" ref="M91" si="48">J91*K91/60</f>
        <v>0</v>
      </c>
      <c r="N91" s="187">
        <f t="shared" ref="N91" si="49">J91*L91/60</f>
        <v>0</v>
      </c>
      <c r="O91" s="188"/>
      <c r="P91" s="279"/>
      <c r="Q91" s="315" t="s">
        <v>754</v>
      </c>
      <c r="R91" s="190">
        <v>3</v>
      </c>
      <c r="S91" s="191">
        <f>R91*89</f>
        <v>267</v>
      </c>
      <c r="T91" s="316" t="s">
        <v>755</v>
      </c>
      <c r="U91" s="316"/>
      <c r="V91" s="144"/>
    </row>
    <row r="92" spans="1:22" s="78" customFormat="1" ht="36" customHeight="1" thickBot="1" x14ac:dyDescent="0.3">
      <c r="A92" s="87">
        <v>3</v>
      </c>
      <c r="B92" s="98">
        <f>(SUM(M81:M91)*D7)*(1+2%)^3</f>
        <v>223.42673232000001</v>
      </c>
      <c r="C92" s="98">
        <f>(SUM(N81:N91)*D8)*(1+2%)^3</f>
        <v>19.471044384000002</v>
      </c>
      <c r="D92" s="88">
        <f>SUM(S81:S91)</f>
        <v>1020.3748000000001</v>
      </c>
      <c r="E92" s="99">
        <f>SUM(B92:D92)</f>
        <v>1263.2725767040001</v>
      </c>
      <c r="F92" s="450">
        <f>SUM(V81:V91)</f>
        <v>576.95985599999995</v>
      </c>
      <c r="G92" s="174"/>
      <c r="H92" s="73"/>
      <c r="I92" s="175"/>
      <c r="J92" s="74"/>
      <c r="K92" s="75"/>
      <c r="L92" s="75"/>
      <c r="M92" s="75"/>
      <c r="N92" s="75"/>
      <c r="O92" s="76"/>
      <c r="P92" s="176"/>
      <c r="Q92" s="177"/>
      <c r="R92" s="178"/>
      <c r="S92" s="179"/>
      <c r="T92" s="77"/>
      <c r="U92" s="180"/>
      <c r="V92" s="144"/>
    </row>
    <row r="93" spans="1:22" s="371" customFormat="1" ht="130.5" customHeight="1" x14ac:dyDescent="0.25">
      <c r="A93" s="459">
        <v>4</v>
      </c>
      <c r="B93" s="453"/>
      <c r="C93" s="322"/>
      <c r="D93" s="322"/>
      <c r="E93" s="323"/>
      <c r="F93" s="324"/>
      <c r="G93" s="200" t="s">
        <v>608</v>
      </c>
      <c r="H93" s="202" t="s">
        <v>607</v>
      </c>
      <c r="I93" s="171">
        <v>2029</v>
      </c>
      <c r="J93" s="198">
        <v>60</v>
      </c>
      <c r="K93" s="109">
        <v>1</v>
      </c>
      <c r="L93" s="182"/>
      <c r="M93" s="169">
        <f>J93*K93/60</f>
        <v>1</v>
      </c>
      <c r="N93" s="169">
        <f>J93*L93/60</f>
        <v>0</v>
      </c>
      <c r="O93" s="79" t="s">
        <v>610</v>
      </c>
      <c r="P93" s="110" t="s">
        <v>605</v>
      </c>
      <c r="Q93" s="101" t="s">
        <v>604</v>
      </c>
      <c r="R93" s="102"/>
      <c r="S93" s="103"/>
      <c r="T93" s="104" t="s">
        <v>611</v>
      </c>
      <c r="U93" s="72" t="s">
        <v>464</v>
      </c>
      <c r="V93" s="145"/>
    </row>
    <row r="94" spans="1:22" s="371" customFormat="1" ht="126.75" customHeight="1" x14ac:dyDescent="0.25">
      <c r="A94" s="456">
        <v>4</v>
      </c>
      <c r="B94" s="322"/>
      <c r="C94" s="322"/>
      <c r="D94" s="322"/>
      <c r="E94" s="323"/>
      <c r="F94" s="324"/>
      <c r="G94" s="201" t="s">
        <v>609</v>
      </c>
      <c r="H94" s="202" t="s">
        <v>606</v>
      </c>
      <c r="I94" s="171">
        <v>2029</v>
      </c>
      <c r="J94" s="199">
        <v>60</v>
      </c>
      <c r="K94" s="109">
        <v>1</v>
      </c>
      <c r="L94" s="182"/>
      <c r="M94" s="169">
        <f t="shared" ref="M94:M97" si="50">J94*K94/60</f>
        <v>1</v>
      </c>
      <c r="N94" s="169">
        <f t="shared" ref="N94:N97" si="51">J94*L94/60</f>
        <v>0</v>
      </c>
      <c r="O94" s="79" t="s">
        <v>610</v>
      </c>
      <c r="P94" s="110" t="s">
        <v>605</v>
      </c>
      <c r="Q94" s="172" t="s">
        <v>604</v>
      </c>
      <c r="R94" s="109"/>
      <c r="S94" s="173"/>
      <c r="T94" s="111" t="s">
        <v>611</v>
      </c>
      <c r="U94" s="72" t="s">
        <v>464</v>
      </c>
      <c r="V94" s="144"/>
    </row>
    <row r="95" spans="1:22" s="371" customFormat="1" ht="74.25" customHeight="1" x14ac:dyDescent="0.25">
      <c r="A95" s="458">
        <v>4</v>
      </c>
      <c r="B95" s="368"/>
      <c r="C95" s="368"/>
      <c r="D95" s="368"/>
      <c r="E95" s="369"/>
      <c r="F95" s="370"/>
      <c r="G95" s="201" t="s">
        <v>620</v>
      </c>
      <c r="H95" s="202" t="s">
        <v>619</v>
      </c>
      <c r="I95" s="171">
        <v>2029</v>
      </c>
      <c r="J95" s="199">
        <v>240</v>
      </c>
      <c r="K95" s="109">
        <v>1</v>
      </c>
      <c r="L95" s="182"/>
      <c r="M95" s="169">
        <f t="shared" si="50"/>
        <v>4</v>
      </c>
      <c r="N95" s="169">
        <f t="shared" si="51"/>
        <v>0</v>
      </c>
      <c r="O95" s="79" t="s">
        <v>452</v>
      </c>
      <c r="P95" s="110" t="s">
        <v>618</v>
      </c>
      <c r="Q95" s="172"/>
      <c r="R95" s="109"/>
      <c r="S95" s="173"/>
      <c r="T95" s="111"/>
      <c r="U95" s="170" t="s">
        <v>410</v>
      </c>
      <c r="V95" s="144"/>
    </row>
    <row r="96" spans="1:22" s="371" customFormat="1" ht="95.25" customHeight="1" x14ac:dyDescent="0.25">
      <c r="A96" s="456">
        <v>4</v>
      </c>
      <c r="B96" s="322"/>
      <c r="C96" s="322"/>
      <c r="D96" s="322"/>
      <c r="E96" s="323"/>
      <c r="F96" s="324"/>
      <c r="G96" s="201" t="s">
        <v>621</v>
      </c>
      <c r="H96" s="202" t="s">
        <v>622</v>
      </c>
      <c r="I96" s="171">
        <v>2029</v>
      </c>
      <c r="J96" s="105">
        <v>15</v>
      </c>
      <c r="K96" s="106">
        <v>1</v>
      </c>
      <c r="L96" s="182"/>
      <c r="M96" s="169">
        <f t="shared" si="50"/>
        <v>0.25</v>
      </c>
      <c r="N96" s="169">
        <f t="shared" si="51"/>
        <v>0</v>
      </c>
      <c r="O96" s="79" t="s">
        <v>623</v>
      </c>
      <c r="P96" s="170"/>
      <c r="Q96" s="172" t="s">
        <v>624</v>
      </c>
      <c r="R96" s="109" t="s">
        <v>625</v>
      </c>
      <c r="S96" s="173">
        <f>((46*25+36*5)/60*56.25)*(1+2%)^4</f>
        <v>1349.6575995000001</v>
      </c>
      <c r="T96" s="111" t="s">
        <v>647</v>
      </c>
      <c r="U96" s="170" t="s">
        <v>626</v>
      </c>
      <c r="V96" s="144"/>
    </row>
    <row r="97" spans="1:22" s="371" customFormat="1" ht="95.25" customHeight="1" thickBot="1" x14ac:dyDescent="0.3">
      <c r="A97" s="460">
        <v>4</v>
      </c>
      <c r="B97" s="454"/>
      <c r="C97" s="373"/>
      <c r="D97" s="373"/>
      <c r="E97" s="375"/>
      <c r="F97" s="376"/>
      <c r="G97" s="113" t="s">
        <v>752</v>
      </c>
      <c r="H97" s="184" t="s">
        <v>761</v>
      </c>
      <c r="I97" s="317">
        <v>2029</v>
      </c>
      <c r="J97" s="278">
        <f>Haselnusserlös!A37/2</f>
        <v>79.2</v>
      </c>
      <c r="K97" s="186">
        <v>1</v>
      </c>
      <c r="L97" s="186">
        <v>1</v>
      </c>
      <c r="M97" s="187">
        <f t="shared" si="50"/>
        <v>1.32</v>
      </c>
      <c r="N97" s="187">
        <f t="shared" si="51"/>
        <v>1.32</v>
      </c>
      <c r="O97" s="188" t="s">
        <v>760</v>
      </c>
      <c r="P97" s="279" t="s">
        <v>754</v>
      </c>
      <c r="Q97" s="315" t="s">
        <v>762</v>
      </c>
      <c r="R97" s="190" t="s">
        <v>763</v>
      </c>
      <c r="S97" s="191"/>
      <c r="T97" s="316" t="s">
        <v>764</v>
      </c>
      <c r="U97" s="316" t="s">
        <v>469</v>
      </c>
      <c r="V97" s="144">
        <f>Haselnusserlös!A30*(1+3%)^4</f>
        <v>594.26865167999995</v>
      </c>
    </row>
    <row r="98" spans="1:22" s="78" customFormat="1" ht="36" customHeight="1" thickBot="1" x14ac:dyDescent="0.3">
      <c r="A98" s="87">
        <v>4</v>
      </c>
      <c r="B98" s="98">
        <f>(SUM(M93:M97)*D7)*(1+2%)^4</f>
        <v>180.26825192640001</v>
      </c>
      <c r="C98" s="98">
        <f>(SUM(N93:N97)*D8)*(1+2%)^4</f>
        <v>19.860465271680003</v>
      </c>
      <c r="D98" s="88">
        <f>SUM(S93:S97)</f>
        <v>1349.6575995000001</v>
      </c>
      <c r="E98" s="99">
        <f>SUM(B98:D98)</f>
        <v>1549.7863166980801</v>
      </c>
      <c r="F98" s="123">
        <f>SUM(V93:V97)</f>
        <v>594.26865167999995</v>
      </c>
      <c r="G98" s="174"/>
      <c r="H98" s="73"/>
      <c r="I98" s="175"/>
      <c r="J98" s="74"/>
      <c r="K98" s="75"/>
      <c r="L98" s="75"/>
      <c r="M98" s="75"/>
      <c r="N98" s="75"/>
      <c r="O98" s="76"/>
      <c r="P98" s="176"/>
      <c r="Q98" s="177"/>
      <c r="R98" s="178"/>
      <c r="S98" s="179"/>
      <c r="T98" s="77"/>
      <c r="U98" s="269"/>
      <c r="V98" s="144"/>
    </row>
    <row r="99" spans="1:22" s="371" customFormat="1" ht="131.25" customHeight="1" x14ac:dyDescent="0.25">
      <c r="A99" s="456">
        <v>5</v>
      </c>
      <c r="B99" s="322"/>
      <c r="C99" s="322"/>
      <c r="D99" s="322"/>
      <c r="E99" s="323"/>
      <c r="F99" s="324"/>
      <c r="G99" s="200" t="s">
        <v>608</v>
      </c>
      <c r="H99" s="202" t="s">
        <v>607</v>
      </c>
      <c r="I99" s="171">
        <v>2030</v>
      </c>
      <c r="J99" s="198">
        <v>60</v>
      </c>
      <c r="K99" s="109">
        <v>1</v>
      </c>
      <c r="L99" s="182"/>
      <c r="M99" s="169">
        <f>J99*K99/60</f>
        <v>1</v>
      </c>
      <c r="N99" s="169">
        <f>J99*L99/60</f>
        <v>0</v>
      </c>
      <c r="O99" s="79" t="s">
        <v>610</v>
      </c>
      <c r="P99" s="110" t="s">
        <v>605</v>
      </c>
      <c r="Q99" s="101" t="s">
        <v>604</v>
      </c>
      <c r="R99" s="102"/>
      <c r="S99" s="103"/>
      <c r="T99" s="104" t="s">
        <v>611</v>
      </c>
      <c r="U99" s="72" t="s">
        <v>464</v>
      </c>
      <c r="V99" s="145"/>
    </row>
    <row r="100" spans="1:22" s="371" customFormat="1" ht="124.5" customHeight="1" x14ac:dyDescent="0.25">
      <c r="A100" s="456">
        <v>5</v>
      </c>
      <c r="B100" s="322"/>
      <c r="C100" s="322"/>
      <c r="D100" s="322"/>
      <c r="E100" s="323"/>
      <c r="F100" s="324"/>
      <c r="G100" s="201" t="s">
        <v>609</v>
      </c>
      <c r="H100" s="202" t="s">
        <v>606</v>
      </c>
      <c r="I100" s="171">
        <v>2030</v>
      </c>
      <c r="J100" s="199">
        <v>60</v>
      </c>
      <c r="K100" s="109">
        <v>1</v>
      </c>
      <c r="L100" s="182"/>
      <c r="M100" s="169">
        <f t="shared" ref="M100:M102" si="52">J100*K100/60</f>
        <v>1</v>
      </c>
      <c r="N100" s="169">
        <f t="shared" ref="N100:N102" si="53">J100*L100/60</f>
        <v>0</v>
      </c>
      <c r="O100" s="79" t="s">
        <v>610</v>
      </c>
      <c r="P100" s="110" t="s">
        <v>605</v>
      </c>
      <c r="Q100" s="172" t="s">
        <v>604</v>
      </c>
      <c r="R100" s="109"/>
      <c r="S100" s="173"/>
      <c r="T100" s="111" t="s">
        <v>611</v>
      </c>
      <c r="U100" s="72" t="s">
        <v>464</v>
      </c>
      <c r="V100" s="144"/>
    </row>
    <row r="101" spans="1:22" s="371" customFormat="1" ht="71.25" customHeight="1" x14ac:dyDescent="0.25">
      <c r="A101" s="456">
        <v>5</v>
      </c>
      <c r="B101" s="322"/>
      <c r="C101" s="322"/>
      <c r="D101" s="322"/>
      <c r="E101" s="323"/>
      <c r="F101" s="324"/>
      <c r="G101" s="201" t="s">
        <v>620</v>
      </c>
      <c r="H101" s="202" t="s">
        <v>619</v>
      </c>
      <c r="I101" s="171">
        <v>2030</v>
      </c>
      <c r="J101" s="199">
        <v>240</v>
      </c>
      <c r="K101" s="109">
        <v>1</v>
      </c>
      <c r="L101" s="182"/>
      <c r="M101" s="169">
        <f t="shared" si="52"/>
        <v>4</v>
      </c>
      <c r="N101" s="169">
        <f t="shared" si="53"/>
        <v>0</v>
      </c>
      <c r="O101" s="79" t="s">
        <v>452</v>
      </c>
      <c r="P101" s="110" t="s">
        <v>618</v>
      </c>
      <c r="Q101" s="172"/>
      <c r="R101" s="109"/>
      <c r="S101" s="173"/>
      <c r="T101" s="111"/>
      <c r="U101" s="170" t="s">
        <v>410</v>
      </c>
      <c r="V101" s="144"/>
    </row>
    <row r="102" spans="1:22" s="371" customFormat="1" ht="93.75" customHeight="1" x14ac:dyDescent="0.25">
      <c r="A102" s="456">
        <v>5</v>
      </c>
      <c r="B102" s="322"/>
      <c r="C102" s="322"/>
      <c r="D102" s="322"/>
      <c r="E102" s="323"/>
      <c r="F102" s="324"/>
      <c r="G102" s="201" t="s">
        <v>621</v>
      </c>
      <c r="H102" s="202" t="s">
        <v>622</v>
      </c>
      <c r="I102" s="171">
        <v>2030</v>
      </c>
      <c r="J102" s="105">
        <v>15</v>
      </c>
      <c r="K102" s="106">
        <v>1</v>
      </c>
      <c r="L102" s="182"/>
      <c r="M102" s="169">
        <f t="shared" si="52"/>
        <v>0.25</v>
      </c>
      <c r="N102" s="169">
        <f t="shared" si="53"/>
        <v>0</v>
      </c>
      <c r="O102" s="79" t="s">
        <v>623</v>
      </c>
      <c r="P102" s="170"/>
      <c r="Q102" s="172" t="s">
        <v>624</v>
      </c>
      <c r="R102" s="109" t="s">
        <v>625</v>
      </c>
      <c r="S102" s="173">
        <f>((46*25+36*5)/60*56.25)*(1+2%)^5</f>
        <v>1376.6507514899999</v>
      </c>
      <c r="T102" s="111" t="s">
        <v>647</v>
      </c>
      <c r="U102" s="170" t="s">
        <v>626</v>
      </c>
      <c r="V102" s="144"/>
    </row>
    <row r="103" spans="1:22" s="371" customFormat="1" ht="95.25" customHeight="1" x14ac:dyDescent="0.25">
      <c r="A103" s="456">
        <v>5</v>
      </c>
      <c r="B103" s="322"/>
      <c r="C103" s="322"/>
      <c r="D103" s="322"/>
      <c r="E103" s="323"/>
      <c r="F103" s="324"/>
      <c r="G103" s="113" t="s">
        <v>430</v>
      </c>
      <c r="H103" s="184" t="s">
        <v>470</v>
      </c>
      <c r="I103" s="185">
        <v>2030</v>
      </c>
      <c r="J103" s="112">
        <f>30*8</f>
        <v>240</v>
      </c>
      <c r="K103" s="186">
        <v>1</v>
      </c>
      <c r="L103" s="186"/>
      <c r="M103" s="187">
        <f>J103*K103/60</f>
        <v>4</v>
      </c>
      <c r="N103" s="187">
        <f>J103*L103/60</f>
        <v>0</v>
      </c>
      <c r="O103" s="188" t="s">
        <v>782</v>
      </c>
      <c r="P103" s="189" t="s">
        <v>472</v>
      </c>
      <c r="Q103" s="188"/>
      <c r="R103" s="190"/>
      <c r="S103" s="191"/>
      <c r="T103" s="188" t="s">
        <v>471</v>
      </c>
      <c r="U103" s="192" t="s">
        <v>464</v>
      </c>
      <c r="V103" s="144">
        <f>Futterlauberlös!A23*(1+3%)^5</f>
        <v>15.580643558591998</v>
      </c>
    </row>
    <row r="104" spans="1:22" s="371" customFormat="1" ht="61.5" customHeight="1" x14ac:dyDescent="0.25">
      <c r="A104" s="456">
        <v>5</v>
      </c>
      <c r="B104" s="322"/>
      <c r="C104" s="322"/>
      <c r="D104" s="322"/>
      <c r="E104" s="323"/>
      <c r="F104" s="324"/>
      <c r="G104" s="113" t="s">
        <v>679</v>
      </c>
      <c r="H104" s="184" t="s">
        <v>683</v>
      </c>
      <c r="I104" s="185">
        <v>2030</v>
      </c>
      <c r="J104" s="278">
        <f>Obsterlös!N53</f>
        <v>146.66666666666666</v>
      </c>
      <c r="K104" s="186">
        <v>1</v>
      </c>
      <c r="L104" s="186">
        <v>2</v>
      </c>
      <c r="M104" s="187">
        <f t="shared" ref="M104:M108" si="54">J104*K104/60</f>
        <v>2.4444444444444442</v>
      </c>
      <c r="N104" s="187">
        <f t="shared" ref="N104:N108" si="55">J104*L104/60</f>
        <v>4.8888888888888884</v>
      </c>
      <c r="O104" s="188" t="s">
        <v>687</v>
      </c>
      <c r="P104" s="189" t="s">
        <v>692</v>
      </c>
      <c r="Q104" s="282" t="s">
        <v>682</v>
      </c>
      <c r="R104" s="193">
        <v>3</v>
      </c>
      <c r="S104" s="191">
        <f>3*50</f>
        <v>150</v>
      </c>
      <c r="T104" s="188" t="s">
        <v>689</v>
      </c>
      <c r="U104" s="189" t="s">
        <v>711</v>
      </c>
      <c r="V104" s="144">
        <f>SUM(Obsterlös!H59+Obsterlös!I59)*(1+3%)^5</f>
        <v>360.53423710729993</v>
      </c>
    </row>
    <row r="105" spans="1:22" s="371" customFormat="1" ht="68.25" customHeight="1" x14ac:dyDescent="0.25">
      <c r="A105" s="456">
        <v>5</v>
      </c>
      <c r="B105" s="322"/>
      <c r="C105" s="322"/>
      <c r="D105" s="322"/>
      <c r="E105" s="323"/>
      <c r="F105" s="324"/>
      <c r="G105" s="113" t="s">
        <v>680</v>
      </c>
      <c r="H105" s="184" t="s">
        <v>683</v>
      </c>
      <c r="I105" s="185">
        <v>2030</v>
      </c>
      <c r="J105" s="278">
        <f>Obsterlös!N54</f>
        <v>132</v>
      </c>
      <c r="K105" s="186">
        <v>1</v>
      </c>
      <c r="L105" s="186">
        <v>2</v>
      </c>
      <c r="M105" s="187">
        <f t="shared" si="54"/>
        <v>2.2000000000000002</v>
      </c>
      <c r="N105" s="187">
        <f t="shared" si="55"/>
        <v>4.4000000000000004</v>
      </c>
      <c r="O105" s="188" t="s">
        <v>687</v>
      </c>
      <c r="P105" s="189" t="s">
        <v>692</v>
      </c>
      <c r="Q105" s="282" t="s">
        <v>688</v>
      </c>
      <c r="R105" s="190">
        <v>3</v>
      </c>
      <c r="S105" s="191">
        <f>3*28</f>
        <v>84</v>
      </c>
      <c r="T105" s="188" t="s">
        <v>691</v>
      </c>
      <c r="U105" s="189" t="s">
        <v>711</v>
      </c>
      <c r="V105" s="144">
        <f>SUM(Obsterlös!H60,Obsterlös!I60)*(1+3%)^5</f>
        <v>405.86185341242998</v>
      </c>
    </row>
    <row r="106" spans="1:22" s="371" customFormat="1" ht="66" customHeight="1" x14ac:dyDescent="0.25">
      <c r="A106" s="456">
        <v>5</v>
      </c>
      <c r="B106" s="322"/>
      <c r="C106" s="322"/>
      <c r="D106" s="322"/>
      <c r="E106" s="323"/>
      <c r="F106" s="324"/>
      <c r="G106" s="113" t="s">
        <v>681</v>
      </c>
      <c r="H106" s="184" t="s">
        <v>683</v>
      </c>
      <c r="I106" s="185">
        <v>2030</v>
      </c>
      <c r="J106" s="278">
        <f>Obsterlös!N55</f>
        <v>58.666666666666664</v>
      </c>
      <c r="K106" s="186">
        <v>1</v>
      </c>
      <c r="L106" s="186">
        <v>2</v>
      </c>
      <c r="M106" s="187">
        <f t="shared" si="54"/>
        <v>0.97777777777777775</v>
      </c>
      <c r="N106" s="187">
        <f t="shared" si="55"/>
        <v>1.9555555555555555</v>
      </c>
      <c r="O106" s="188" t="s">
        <v>687</v>
      </c>
      <c r="P106" s="189" t="s">
        <v>692</v>
      </c>
      <c r="Q106" s="188"/>
      <c r="R106" s="190"/>
      <c r="S106" s="191"/>
      <c r="T106" s="188" t="s">
        <v>690</v>
      </c>
      <c r="U106" s="189" t="s">
        <v>711</v>
      </c>
      <c r="V106" s="144">
        <f>SUM(Obsterlös!H64)*(1+3%)^5</f>
        <v>604.30638945110388</v>
      </c>
    </row>
    <row r="107" spans="1:22" s="371" customFormat="1" ht="66" customHeight="1" x14ac:dyDescent="0.25">
      <c r="A107" s="456">
        <v>5</v>
      </c>
      <c r="B107" s="322"/>
      <c r="C107" s="322"/>
      <c r="D107" s="322"/>
      <c r="E107" s="323"/>
      <c r="F107" s="324"/>
      <c r="G107" s="113" t="s">
        <v>3</v>
      </c>
      <c r="H107" s="184" t="s">
        <v>779</v>
      </c>
      <c r="I107" s="185">
        <v>2030</v>
      </c>
      <c r="J107" s="278">
        <f>SUM(J104:J106)*0.05</f>
        <v>16.866666666666667</v>
      </c>
      <c r="K107" s="186">
        <v>1</v>
      </c>
      <c r="L107" s="186">
        <v>2</v>
      </c>
      <c r="M107" s="187">
        <f t="shared" si="54"/>
        <v>0.28111111111111114</v>
      </c>
      <c r="N107" s="187">
        <f t="shared" si="55"/>
        <v>0.56222222222222229</v>
      </c>
      <c r="O107" s="188" t="s">
        <v>713</v>
      </c>
      <c r="P107" s="189" t="s">
        <v>712</v>
      </c>
      <c r="Q107" s="188" t="s">
        <v>714</v>
      </c>
      <c r="R107" s="312">
        <f>(SUM(Obsterlös!H48:H50)*0.2)/5</f>
        <v>33.6</v>
      </c>
      <c r="S107" s="191">
        <f>R107*12</f>
        <v>403.20000000000005</v>
      </c>
      <c r="T107" s="188" t="s">
        <v>715</v>
      </c>
      <c r="U107" s="189" t="s">
        <v>469</v>
      </c>
      <c r="V107" s="144"/>
    </row>
    <row r="108" spans="1:22" s="371" customFormat="1" ht="84" customHeight="1" thickBot="1" x14ac:dyDescent="0.3">
      <c r="A108" s="456">
        <v>5</v>
      </c>
      <c r="B108" s="322"/>
      <c r="C108" s="322"/>
      <c r="D108" s="322"/>
      <c r="E108" s="323"/>
      <c r="F108" s="324"/>
      <c r="G108" s="113" t="s">
        <v>752</v>
      </c>
      <c r="H108" s="184" t="s">
        <v>761</v>
      </c>
      <c r="I108" s="185">
        <v>2030</v>
      </c>
      <c r="J108" s="278">
        <f>Haselnusserlös!A37/2</f>
        <v>79.2</v>
      </c>
      <c r="K108" s="186">
        <v>1</v>
      </c>
      <c r="L108" s="186">
        <v>1</v>
      </c>
      <c r="M108" s="187">
        <f t="shared" si="54"/>
        <v>1.32</v>
      </c>
      <c r="N108" s="187">
        <f t="shared" si="55"/>
        <v>1.32</v>
      </c>
      <c r="O108" s="188" t="s">
        <v>760</v>
      </c>
      <c r="P108" s="279" t="s">
        <v>754</v>
      </c>
      <c r="Q108" s="315" t="s">
        <v>762</v>
      </c>
      <c r="R108" s="190" t="s">
        <v>763</v>
      </c>
      <c r="S108" s="191"/>
      <c r="T108" s="316" t="s">
        <v>764</v>
      </c>
      <c r="U108" s="316" t="s">
        <v>469</v>
      </c>
      <c r="V108" s="144">
        <f>Haselnusserlös!A30*(1+3%)^5</f>
        <v>612.09671123039993</v>
      </c>
    </row>
    <row r="109" spans="1:22" s="78" customFormat="1" ht="36" customHeight="1" thickBot="1" x14ac:dyDescent="0.3">
      <c r="A109" s="87">
        <v>5</v>
      </c>
      <c r="B109" s="98">
        <f>(SUM(M99:M108)*D7)*(1+2%)^5</f>
        <v>424.42338182745607</v>
      </c>
      <c r="C109" s="98">
        <f>(SUM(N99:N108)*D8)*(1+2%)^5</f>
        <v>201.4513194057408</v>
      </c>
      <c r="D109" s="88">
        <f>SUM(S99:S108)</f>
        <v>2013.85075149</v>
      </c>
      <c r="E109" s="99">
        <f>SUM(B109:D109)</f>
        <v>2639.7254527231971</v>
      </c>
      <c r="F109" s="123">
        <f>SUM(V99:V108)</f>
        <v>1998.3798347598256</v>
      </c>
      <c r="G109" s="174"/>
      <c r="H109" s="73"/>
      <c r="I109" s="175"/>
      <c r="J109" s="74"/>
      <c r="K109" s="75"/>
      <c r="L109" s="75"/>
      <c r="M109" s="75"/>
      <c r="N109" s="75"/>
      <c r="O109" s="76"/>
      <c r="P109" s="176"/>
      <c r="Q109" s="177"/>
      <c r="R109" s="178"/>
      <c r="S109" s="179"/>
      <c r="T109" s="77"/>
      <c r="U109" s="180"/>
      <c r="V109" s="144"/>
    </row>
    <row r="110" spans="1:22" s="371" customFormat="1" ht="127.5" customHeight="1" x14ac:dyDescent="0.25">
      <c r="A110" s="456">
        <v>6</v>
      </c>
      <c r="B110" s="322"/>
      <c r="C110" s="322"/>
      <c r="D110" s="322"/>
      <c r="E110" s="323"/>
      <c r="F110" s="324"/>
      <c r="G110" s="200" t="s">
        <v>608</v>
      </c>
      <c r="H110" s="202" t="s">
        <v>607</v>
      </c>
      <c r="I110" s="171">
        <v>2031</v>
      </c>
      <c r="J110" s="198">
        <v>60</v>
      </c>
      <c r="K110" s="109">
        <v>1</v>
      </c>
      <c r="L110" s="182"/>
      <c r="M110" s="169">
        <f>J110*K110/60</f>
        <v>1</v>
      </c>
      <c r="N110" s="169">
        <f>J110*L110/60</f>
        <v>0</v>
      </c>
      <c r="O110" s="79" t="s">
        <v>610</v>
      </c>
      <c r="P110" s="110" t="s">
        <v>605</v>
      </c>
      <c r="Q110" s="101" t="s">
        <v>604</v>
      </c>
      <c r="R110" s="102"/>
      <c r="S110" s="103"/>
      <c r="T110" s="104" t="s">
        <v>611</v>
      </c>
      <c r="U110" s="72" t="s">
        <v>464</v>
      </c>
      <c r="V110" s="145"/>
    </row>
    <row r="111" spans="1:22" s="371" customFormat="1" ht="119.25" customHeight="1" x14ac:dyDescent="0.25">
      <c r="A111" s="457">
        <v>6</v>
      </c>
      <c r="B111" s="322"/>
      <c r="C111" s="322"/>
      <c r="D111" s="322"/>
      <c r="E111" s="323"/>
      <c r="F111" s="324"/>
      <c r="G111" s="201" t="s">
        <v>609</v>
      </c>
      <c r="H111" s="202" t="s">
        <v>606</v>
      </c>
      <c r="I111" s="171">
        <v>2031</v>
      </c>
      <c r="J111" s="199">
        <v>60</v>
      </c>
      <c r="K111" s="109">
        <v>1</v>
      </c>
      <c r="L111" s="182"/>
      <c r="M111" s="169">
        <f t="shared" ref="M111:M113" si="56">J111*K111/60</f>
        <v>1</v>
      </c>
      <c r="N111" s="169">
        <f t="shared" ref="N111:N113" si="57">J111*L111/60</f>
        <v>0</v>
      </c>
      <c r="O111" s="79" t="s">
        <v>610</v>
      </c>
      <c r="P111" s="110" t="s">
        <v>605</v>
      </c>
      <c r="Q111" s="172" t="s">
        <v>604</v>
      </c>
      <c r="R111" s="109"/>
      <c r="S111" s="173"/>
      <c r="T111" s="111" t="s">
        <v>611</v>
      </c>
      <c r="U111" s="72" t="s">
        <v>464</v>
      </c>
      <c r="V111" s="144"/>
    </row>
    <row r="112" spans="1:22" s="371" customFormat="1" ht="69" customHeight="1" x14ac:dyDescent="0.25">
      <c r="A112" s="457">
        <v>6</v>
      </c>
      <c r="B112" s="322"/>
      <c r="C112" s="322"/>
      <c r="D112" s="322"/>
      <c r="E112" s="323"/>
      <c r="F112" s="324"/>
      <c r="G112" s="201" t="s">
        <v>620</v>
      </c>
      <c r="H112" s="202" t="s">
        <v>619</v>
      </c>
      <c r="I112" s="171">
        <v>2031</v>
      </c>
      <c r="J112" s="199">
        <v>240</v>
      </c>
      <c r="K112" s="109">
        <v>1</v>
      </c>
      <c r="L112" s="182"/>
      <c r="M112" s="169">
        <f t="shared" si="56"/>
        <v>4</v>
      </c>
      <c r="N112" s="169">
        <f t="shared" si="57"/>
        <v>0</v>
      </c>
      <c r="O112" s="79" t="s">
        <v>452</v>
      </c>
      <c r="P112" s="110" t="s">
        <v>618</v>
      </c>
      <c r="Q112" s="172"/>
      <c r="R112" s="109"/>
      <c r="S112" s="173"/>
      <c r="T112" s="111"/>
      <c r="U112" s="170" t="s">
        <v>410</v>
      </c>
      <c r="V112" s="144"/>
    </row>
    <row r="113" spans="1:22" s="371" customFormat="1" ht="96" customHeight="1" x14ac:dyDescent="0.25">
      <c r="A113" s="457">
        <v>6</v>
      </c>
      <c r="B113" s="322"/>
      <c r="C113" s="322"/>
      <c r="D113" s="322"/>
      <c r="E113" s="323"/>
      <c r="F113" s="324"/>
      <c r="G113" s="201" t="s">
        <v>621</v>
      </c>
      <c r="H113" s="202" t="s">
        <v>622</v>
      </c>
      <c r="I113" s="171">
        <v>2031</v>
      </c>
      <c r="J113" s="105">
        <v>15</v>
      </c>
      <c r="K113" s="106">
        <v>1</v>
      </c>
      <c r="L113" s="182"/>
      <c r="M113" s="169">
        <f t="shared" si="56"/>
        <v>0.25</v>
      </c>
      <c r="N113" s="169">
        <f t="shared" si="57"/>
        <v>0</v>
      </c>
      <c r="O113" s="79" t="s">
        <v>623</v>
      </c>
      <c r="P113" s="170"/>
      <c r="Q113" s="172" t="s">
        <v>624</v>
      </c>
      <c r="R113" s="109" t="s">
        <v>625</v>
      </c>
      <c r="S113" s="173">
        <f>((46*25+36*5)/60*56.25)*(1+2%)^6</f>
        <v>1404.1837665198</v>
      </c>
      <c r="T113" s="111" t="s">
        <v>647</v>
      </c>
      <c r="U113" s="170" t="s">
        <v>626</v>
      </c>
      <c r="V113" s="144"/>
    </row>
    <row r="114" spans="1:22" s="371" customFormat="1" ht="86.25" customHeight="1" x14ac:dyDescent="0.25">
      <c r="A114" s="457">
        <v>6</v>
      </c>
      <c r="B114" s="322"/>
      <c r="C114" s="322"/>
      <c r="D114" s="322"/>
      <c r="E114" s="323"/>
      <c r="F114" s="324"/>
      <c r="G114" s="113" t="s">
        <v>430</v>
      </c>
      <c r="H114" s="184" t="s">
        <v>470</v>
      </c>
      <c r="I114" s="185">
        <v>2031</v>
      </c>
      <c r="J114" s="112">
        <f>30*8</f>
        <v>240</v>
      </c>
      <c r="K114" s="186">
        <v>1</v>
      </c>
      <c r="L114" s="186"/>
      <c r="M114" s="187">
        <f>J114*K114/60</f>
        <v>4</v>
      </c>
      <c r="N114" s="187">
        <f>J114*L114/60</f>
        <v>0</v>
      </c>
      <c r="O114" s="188" t="s">
        <v>782</v>
      </c>
      <c r="P114" s="189" t="s">
        <v>472</v>
      </c>
      <c r="Q114" s="188"/>
      <c r="R114" s="190"/>
      <c r="S114" s="191"/>
      <c r="T114" s="188" t="s">
        <v>471</v>
      </c>
      <c r="U114" s="192" t="s">
        <v>464</v>
      </c>
      <c r="V114" s="144">
        <f>Futterlauberlös!A23*(1+3%)^6</f>
        <v>16.04806286534976</v>
      </c>
    </row>
    <row r="115" spans="1:22" s="371" customFormat="1" ht="86.25" customHeight="1" x14ac:dyDescent="0.25">
      <c r="A115" s="457">
        <v>6</v>
      </c>
      <c r="B115" s="322"/>
      <c r="C115" s="322"/>
      <c r="D115" s="322"/>
      <c r="E115" s="323"/>
      <c r="F115" s="324"/>
      <c r="G115" s="113" t="s">
        <v>679</v>
      </c>
      <c r="H115" s="184" t="s">
        <v>683</v>
      </c>
      <c r="I115" s="185">
        <v>2031</v>
      </c>
      <c r="J115" s="278">
        <f>Obsterlös!N53</f>
        <v>146.66666666666666</v>
      </c>
      <c r="K115" s="281">
        <f t="shared" ref="K115:L118" si="58">K104</f>
        <v>1</v>
      </c>
      <c r="L115" s="281">
        <f t="shared" si="58"/>
        <v>2</v>
      </c>
      <c r="M115" s="187">
        <f t="shared" ref="M115:M117" si="59">J115*K115/60</f>
        <v>2.4444444444444442</v>
      </c>
      <c r="N115" s="187">
        <f t="shared" ref="N115:N117" si="60">J115*L115/60</f>
        <v>4.8888888888888884</v>
      </c>
      <c r="O115" s="188" t="s">
        <v>687</v>
      </c>
      <c r="P115" s="189" t="s">
        <v>692</v>
      </c>
      <c r="Q115" s="188"/>
      <c r="R115" s="190"/>
      <c r="S115" s="191"/>
      <c r="T115" s="188" t="s">
        <v>693</v>
      </c>
      <c r="U115" s="189" t="s">
        <v>711</v>
      </c>
      <c r="V115" s="144">
        <f>SUM(Obsterlös!H59+Obsterlös!I59)*(1+3%)^6</f>
        <v>371.35026422051897</v>
      </c>
    </row>
    <row r="116" spans="1:22" s="371" customFormat="1" ht="86.25" customHeight="1" x14ac:dyDescent="0.25">
      <c r="A116" s="457">
        <v>6</v>
      </c>
      <c r="B116" s="322"/>
      <c r="C116" s="322"/>
      <c r="D116" s="322"/>
      <c r="E116" s="323"/>
      <c r="F116" s="376"/>
      <c r="G116" s="113" t="s">
        <v>680</v>
      </c>
      <c r="H116" s="184" t="s">
        <v>683</v>
      </c>
      <c r="I116" s="185">
        <v>2031</v>
      </c>
      <c r="J116" s="278">
        <f>Obsterlös!N54</f>
        <v>132</v>
      </c>
      <c r="K116" s="281">
        <f t="shared" si="58"/>
        <v>1</v>
      </c>
      <c r="L116" s="281">
        <f t="shared" si="58"/>
        <v>2</v>
      </c>
      <c r="M116" s="187">
        <f t="shared" si="59"/>
        <v>2.2000000000000002</v>
      </c>
      <c r="N116" s="187">
        <f t="shared" si="60"/>
        <v>4.4000000000000004</v>
      </c>
      <c r="O116" s="188" t="s">
        <v>687</v>
      </c>
      <c r="P116" s="189" t="s">
        <v>692</v>
      </c>
      <c r="Q116" s="188"/>
      <c r="R116" s="190"/>
      <c r="S116" s="191"/>
      <c r="T116" s="188" t="s">
        <v>693</v>
      </c>
      <c r="U116" s="189" t="s">
        <v>711</v>
      </c>
      <c r="V116" s="144">
        <f>SUM(Obsterlös!H60,Obsterlös!I60)*(1+3%)^6</f>
        <v>418.03770901480289</v>
      </c>
    </row>
    <row r="117" spans="1:22" s="371" customFormat="1" ht="86.25" customHeight="1" x14ac:dyDescent="0.25">
      <c r="A117" s="457">
        <v>6</v>
      </c>
      <c r="B117" s="322"/>
      <c r="C117" s="322"/>
      <c r="D117" s="322"/>
      <c r="E117" s="323"/>
      <c r="F117" s="324"/>
      <c r="G117" s="113" t="s">
        <v>681</v>
      </c>
      <c r="H117" s="184" t="s">
        <v>683</v>
      </c>
      <c r="I117" s="185">
        <v>2031</v>
      </c>
      <c r="J117" s="278">
        <f>Obsterlös!N55</f>
        <v>58.666666666666664</v>
      </c>
      <c r="K117" s="281">
        <f t="shared" si="58"/>
        <v>1</v>
      </c>
      <c r="L117" s="281">
        <f t="shared" si="58"/>
        <v>2</v>
      </c>
      <c r="M117" s="187">
        <f t="shared" si="59"/>
        <v>0.97777777777777775</v>
      </c>
      <c r="N117" s="187">
        <f t="shared" si="60"/>
        <v>1.9555555555555555</v>
      </c>
      <c r="O117" s="188" t="s">
        <v>687</v>
      </c>
      <c r="P117" s="189" t="s">
        <v>692</v>
      </c>
      <c r="Q117" s="188"/>
      <c r="R117" s="190"/>
      <c r="S117" s="191"/>
      <c r="T117" s="188" t="s">
        <v>690</v>
      </c>
      <c r="U117" s="189" t="s">
        <v>711</v>
      </c>
      <c r="V117" s="144">
        <f>SUM(Obsterlös!H64)*(1+3%)^6</f>
        <v>622.435581134637</v>
      </c>
    </row>
    <row r="118" spans="1:22" s="371" customFormat="1" ht="86.25" customHeight="1" x14ac:dyDescent="0.25">
      <c r="A118" s="457">
        <v>6</v>
      </c>
      <c r="B118" s="322"/>
      <c r="C118" s="322"/>
      <c r="D118" s="322"/>
      <c r="E118" s="323"/>
      <c r="F118" s="324"/>
      <c r="G118" s="113" t="s">
        <v>3</v>
      </c>
      <c r="H118" s="184" t="s">
        <v>779</v>
      </c>
      <c r="I118" s="185">
        <v>2031</v>
      </c>
      <c r="J118" s="278">
        <f>SUM(J115:J117)*0.05</f>
        <v>16.866666666666667</v>
      </c>
      <c r="K118" s="281">
        <f t="shared" si="58"/>
        <v>1</v>
      </c>
      <c r="L118" s="281">
        <f t="shared" si="58"/>
        <v>2</v>
      </c>
      <c r="M118" s="187">
        <f t="shared" ref="M118" si="61">J118*K118/60</f>
        <v>0.28111111111111114</v>
      </c>
      <c r="N118" s="187">
        <f t="shared" ref="N118" si="62">J118*L118/60</f>
        <v>0.56222222222222229</v>
      </c>
      <c r="O118" s="188" t="s">
        <v>713</v>
      </c>
      <c r="P118" s="189" t="s">
        <v>712</v>
      </c>
      <c r="Q118" s="188" t="s">
        <v>714</v>
      </c>
      <c r="R118" s="190"/>
      <c r="S118" s="191"/>
      <c r="T118" s="280"/>
      <c r="U118" s="189" t="s">
        <v>469</v>
      </c>
      <c r="V118" s="144"/>
    </row>
    <row r="119" spans="1:22" s="371" customFormat="1" ht="86.25" customHeight="1" thickBot="1" x14ac:dyDescent="0.3">
      <c r="A119" s="458">
        <v>6</v>
      </c>
      <c r="B119" s="373"/>
      <c r="C119" s="373"/>
      <c r="D119" s="373"/>
      <c r="E119" s="375"/>
      <c r="F119" s="376"/>
      <c r="G119" s="113" t="s">
        <v>752</v>
      </c>
      <c r="H119" s="184" t="s">
        <v>761</v>
      </c>
      <c r="I119" s="185">
        <v>2031</v>
      </c>
      <c r="J119" s="278">
        <f>Haselnusserlös!A37/2</f>
        <v>79.2</v>
      </c>
      <c r="K119" s="186">
        <v>1</v>
      </c>
      <c r="L119" s="186">
        <v>1</v>
      </c>
      <c r="M119" s="187">
        <f t="shared" ref="M119" si="63">J119*K119/60</f>
        <v>1.32</v>
      </c>
      <c r="N119" s="187">
        <f t="shared" ref="N119" si="64">J119*L119/60</f>
        <v>1.32</v>
      </c>
      <c r="O119" s="188" t="s">
        <v>760</v>
      </c>
      <c r="P119" s="279" t="s">
        <v>754</v>
      </c>
      <c r="Q119" s="315" t="s">
        <v>762</v>
      </c>
      <c r="R119" s="190" t="s">
        <v>763</v>
      </c>
      <c r="S119" s="191"/>
      <c r="T119" s="316" t="s">
        <v>764</v>
      </c>
      <c r="U119" s="316" t="s">
        <v>469</v>
      </c>
      <c r="V119" s="144">
        <f>Haselnusserlös!A30*(1+3%)^6</f>
        <v>630.45961256731198</v>
      </c>
    </row>
    <row r="120" spans="1:22" s="78" customFormat="1" ht="36" customHeight="1" thickBot="1" x14ac:dyDescent="0.3">
      <c r="A120" s="87">
        <v>6</v>
      </c>
      <c r="B120" s="98">
        <f>(SUM(M110:M119)*D7)*(1+2%)^6</f>
        <v>432.91184946400523</v>
      </c>
      <c r="C120" s="98">
        <f>(SUM(N110:N119)*D8)*(1+2%)^6</f>
        <v>205.48034579385563</v>
      </c>
      <c r="D120" s="88">
        <f>SUM(S110:S119)</f>
        <v>1404.1837665198</v>
      </c>
      <c r="E120" s="99">
        <f>SUM(B120:D120)</f>
        <v>2042.5759617776607</v>
      </c>
      <c r="F120" s="123">
        <f>SUM(V110:V119)</f>
        <v>2058.3312298026203</v>
      </c>
      <c r="G120" s="174"/>
      <c r="H120" s="73"/>
      <c r="I120" s="175"/>
      <c r="J120" s="74"/>
      <c r="K120" s="75"/>
      <c r="L120" s="75"/>
      <c r="M120" s="75"/>
      <c r="N120" s="75"/>
      <c r="O120" s="76"/>
      <c r="P120" s="176"/>
      <c r="Q120" s="177"/>
      <c r="R120" s="178"/>
      <c r="S120" s="179"/>
      <c r="T120" s="77"/>
      <c r="U120" s="180"/>
      <c r="V120" s="144"/>
    </row>
    <row r="121" spans="1:22" s="371" customFormat="1" ht="132.75" customHeight="1" x14ac:dyDescent="0.25">
      <c r="A121" s="456">
        <v>7</v>
      </c>
      <c r="B121" s="322"/>
      <c r="C121" s="322"/>
      <c r="D121" s="322"/>
      <c r="E121" s="323"/>
      <c r="F121" s="324"/>
      <c r="G121" s="200" t="s">
        <v>608</v>
      </c>
      <c r="H121" s="202" t="s">
        <v>607</v>
      </c>
      <c r="I121" s="171">
        <v>2032</v>
      </c>
      <c r="J121" s="198">
        <v>60</v>
      </c>
      <c r="K121" s="109">
        <v>1</v>
      </c>
      <c r="L121" s="182"/>
      <c r="M121" s="169">
        <f>J121*K121/60</f>
        <v>1</v>
      </c>
      <c r="N121" s="169">
        <f>J121*L121/60</f>
        <v>0</v>
      </c>
      <c r="O121" s="79" t="s">
        <v>610</v>
      </c>
      <c r="P121" s="110" t="s">
        <v>605</v>
      </c>
      <c r="Q121" s="101" t="s">
        <v>604</v>
      </c>
      <c r="R121" s="102"/>
      <c r="S121" s="103"/>
      <c r="T121" s="104" t="s">
        <v>611</v>
      </c>
      <c r="U121" s="72" t="s">
        <v>464</v>
      </c>
      <c r="V121" s="145"/>
    </row>
    <row r="122" spans="1:22" s="371" customFormat="1" ht="123" customHeight="1" x14ac:dyDescent="0.25">
      <c r="A122" s="457">
        <v>7</v>
      </c>
      <c r="B122" s="322"/>
      <c r="C122" s="322"/>
      <c r="D122" s="322"/>
      <c r="E122" s="323"/>
      <c r="F122" s="324"/>
      <c r="G122" s="201" t="s">
        <v>609</v>
      </c>
      <c r="H122" s="202" t="s">
        <v>606</v>
      </c>
      <c r="I122" s="171">
        <v>2032</v>
      </c>
      <c r="J122" s="199">
        <v>60</v>
      </c>
      <c r="K122" s="109">
        <v>1</v>
      </c>
      <c r="L122" s="182"/>
      <c r="M122" s="169">
        <f t="shared" ref="M122:M123" si="65">J122*K122/60</f>
        <v>1</v>
      </c>
      <c r="N122" s="169">
        <f t="shared" ref="N122:N123" si="66">J122*L122/60</f>
        <v>0</v>
      </c>
      <c r="O122" s="79" t="s">
        <v>610</v>
      </c>
      <c r="P122" s="110" t="s">
        <v>605</v>
      </c>
      <c r="Q122" s="172" t="s">
        <v>604</v>
      </c>
      <c r="R122" s="109"/>
      <c r="S122" s="173"/>
      <c r="T122" s="111" t="s">
        <v>611</v>
      </c>
      <c r="U122" s="72" t="s">
        <v>464</v>
      </c>
      <c r="V122" s="144"/>
    </row>
    <row r="123" spans="1:22" s="371" customFormat="1" ht="89.25" customHeight="1" x14ac:dyDescent="0.25">
      <c r="A123" s="457">
        <v>7</v>
      </c>
      <c r="B123" s="322"/>
      <c r="C123" s="322"/>
      <c r="D123" s="322"/>
      <c r="E123" s="323"/>
      <c r="F123" s="324"/>
      <c r="G123" s="201" t="s">
        <v>621</v>
      </c>
      <c r="H123" s="202" t="s">
        <v>622</v>
      </c>
      <c r="I123" s="171">
        <v>2032</v>
      </c>
      <c r="J123" s="105">
        <v>15</v>
      </c>
      <c r="K123" s="106">
        <v>1</v>
      </c>
      <c r="L123" s="182"/>
      <c r="M123" s="169">
        <f t="shared" si="65"/>
        <v>0.25</v>
      </c>
      <c r="N123" s="169">
        <f t="shared" si="66"/>
        <v>0</v>
      </c>
      <c r="O123" s="79" t="s">
        <v>623</v>
      </c>
      <c r="P123" s="170"/>
      <c r="Q123" s="172" t="s">
        <v>624</v>
      </c>
      <c r="R123" s="109" t="s">
        <v>625</v>
      </c>
      <c r="S123" s="173">
        <f>((46*25+36*5)/60*56.25)*(1+2%)^7</f>
        <v>1432.2674418501958</v>
      </c>
      <c r="T123" s="111" t="s">
        <v>647</v>
      </c>
      <c r="U123" s="170" t="s">
        <v>626</v>
      </c>
      <c r="V123" s="144"/>
    </row>
    <row r="124" spans="1:22" s="371" customFormat="1" ht="81" customHeight="1" x14ac:dyDescent="0.25">
      <c r="A124" s="457">
        <v>7</v>
      </c>
      <c r="B124" s="322"/>
      <c r="C124" s="322"/>
      <c r="D124" s="322"/>
      <c r="E124" s="323"/>
      <c r="F124" s="324"/>
      <c r="G124" s="113" t="s">
        <v>430</v>
      </c>
      <c r="H124" s="184" t="s">
        <v>470</v>
      </c>
      <c r="I124" s="185">
        <v>2032</v>
      </c>
      <c r="J124" s="112">
        <f>30*8</f>
        <v>240</v>
      </c>
      <c r="K124" s="186">
        <v>1</v>
      </c>
      <c r="L124" s="186"/>
      <c r="M124" s="187">
        <f>J124*K124/60</f>
        <v>4</v>
      </c>
      <c r="N124" s="187">
        <f>J124*L124/60</f>
        <v>0</v>
      </c>
      <c r="O124" s="188" t="s">
        <v>782</v>
      </c>
      <c r="P124" s="189" t="s">
        <v>472</v>
      </c>
      <c r="Q124" s="188"/>
      <c r="R124" s="190"/>
      <c r="S124" s="191"/>
      <c r="T124" s="188" t="s">
        <v>471</v>
      </c>
      <c r="U124" s="192" t="s">
        <v>464</v>
      </c>
      <c r="V124" s="144">
        <f>Futterlauberlös!A23*(1+3%)^7</f>
        <v>16.529504751310252</v>
      </c>
    </row>
    <row r="125" spans="1:22" s="371" customFormat="1" ht="81" customHeight="1" x14ac:dyDescent="0.25">
      <c r="A125" s="457">
        <v>7</v>
      </c>
      <c r="B125" s="322"/>
      <c r="C125" s="322"/>
      <c r="D125" s="322"/>
      <c r="E125" s="323"/>
      <c r="F125" s="376"/>
      <c r="G125" s="113" t="s">
        <v>679</v>
      </c>
      <c r="H125" s="184" t="s">
        <v>683</v>
      </c>
      <c r="I125" s="185">
        <v>2032</v>
      </c>
      <c r="J125" s="278">
        <f>Obsterlös!N53</f>
        <v>146.66666666666666</v>
      </c>
      <c r="K125" s="281">
        <f t="shared" ref="K125:L128" si="67">K115</f>
        <v>1</v>
      </c>
      <c r="L125" s="281">
        <f t="shared" si="67"/>
        <v>2</v>
      </c>
      <c r="M125" s="187">
        <f t="shared" ref="M125:M127" si="68">J125*K125/60</f>
        <v>2.4444444444444442</v>
      </c>
      <c r="N125" s="187">
        <f t="shared" ref="N125:N127" si="69">J125*L125/60</f>
        <v>4.8888888888888884</v>
      </c>
      <c r="O125" s="188" t="s">
        <v>687</v>
      </c>
      <c r="P125" s="189" t="s">
        <v>692</v>
      </c>
      <c r="Q125" s="188"/>
      <c r="R125" s="190"/>
      <c r="S125" s="191"/>
      <c r="T125" s="188" t="s">
        <v>693</v>
      </c>
      <c r="U125" s="189" t="s">
        <v>711</v>
      </c>
      <c r="V125" s="144">
        <f>SUM(Obsterlös!H59+Obsterlös!I59)*(1+3%)^7</f>
        <v>382.49077214713458</v>
      </c>
    </row>
    <row r="126" spans="1:22" s="371" customFormat="1" ht="81" customHeight="1" x14ac:dyDescent="0.25">
      <c r="A126" s="457">
        <v>7</v>
      </c>
      <c r="B126" s="322"/>
      <c r="C126" s="322"/>
      <c r="D126" s="322"/>
      <c r="E126" s="323"/>
      <c r="F126" s="324"/>
      <c r="G126" s="113" t="s">
        <v>680</v>
      </c>
      <c r="H126" s="184" t="s">
        <v>683</v>
      </c>
      <c r="I126" s="185">
        <v>2032</v>
      </c>
      <c r="J126" s="278">
        <f>Obsterlös!N54</f>
        <v>132</v>
      </c>
      <c r="K126" s="281">
        <f t="shared" si="67"/>
        <v>1</v>
      </c>
      <c r="L126" s="281">
        <f t="shared" si="67"/>
        <v>2</v>
      </c>
      <c r="M126" s="187">
        <f t="shared" si="68"/>
        <v>2.2000000000000002</v>
      </c>
      <c r="N126" s="187">
        <f t="shared" si="69"/>
        <v>4.4000000000000004</v>
      </c>
      <c r="O126" s="188" t="s">
        <v>687</v>
      </c>
      <c r="P126" s="189" t="s">
        <v>692</v>
      </c>
      <c r="Q126" s="188"/>
      <c r="R126" s="190"/>
      <c r="S126" s="191"/>
      <c r="T126" s="188" t="s">
        <v>693</v>
      </c>
      <c r="U126" s="189" t="s">
        <v>711</v>
      </c>
      <c r="V126" s="144">
        <f>SUM(Obsterlös!H60,Obsterlös!I60)*(1+3%)^7</f>
        <v>430.578840285247</v>
      </c>
    </row>
    <row r="127" spans="1:22" s="371" customFormat="1" ht="81" customHeight="1" x14ac:dyDescent="0.25">
      <c r="A127" s="457">
        <v>7</v>
      </c>
      <c r="B127" s="322"/>
      <c r="C127" s="322"/>
      <c r="D127" s="322"/>
      <c r="E127" s="323"/>
      <c r="F127" s="376"/>
      <c r="G127" s="113" t="s">
        <v>681</v>
      </c>
      <c r="H127" s="184" t="s">
        <v>683</v>
      </c>
      <c r="I127" s="185">
        <v>2032</v>
      </c>
      <c r="J127" s="278">
        <f>Obsterlös!N55</f>
        <v>58.666666666666664</v>
      </c>
      <c r="K127" s="281">
        <f t="shared" si="67"/>
        <v>1</v>
      </c>
      <c r="L127" s="281">
        <f t="shared" si="67"/>
        <v>2</v>
      </c>
      <c r="M127" s="187">
        <f t="shared" si="68"/>
        <v>0.97777777777777775</v>
      </c>
      <c r="N127" s="187">
        <f t="shared" si="69"/>
        <v>1.9555555555555555</v>
      </c>
      <c r="O127" s="188" t="s">
        <v>687</v>
      </c>
      <c r="P127" s="189" t="s">
        <v>692</v>
      </c>
      <c r="Q127" s="188"/>
      <c r="R127" s="190"/>
      <c r="S127" s="191"/>
      <c r="T127" s="188" t="s">
        <v>690</v>
      </c>
      <c r="U127" s="189" t="s">
        <v>711</v>
      </c>
      <c r="V127" s="144">
        <f>SUM(Obsterlös!H64)*(1+3%)^7</f>
        <v>641.10864856867624</v>
      </c>
    </row>
    <row r="128" spans="1:22" s="371" customFormat="1" ht="81" customHeight="1" x14ac:dyDescent="0.25">
      <c r="A128" s="457">
        <v>7</v>
      </c>
      <c r="B128" s="322"/>
      <c r="C128" s="322"/>
      <c r="D128" s="322"/>
      <c r="E128" s="323"/>
      <c r="F128" s="324"/>
      <c r="G128" s="113" t="s">
        <v>3</v>
      </c>
      <c r="H128" s="184" t="s">
        <v>779</v>
      </c>
      <c r="I128" s="185">
        <v>2032</v>
      </c>
      <c r="J128" s="278">
        <f>SUM(J125:J127)*0.05</f>
        <v>16.866666666666667</v>
      </c>
      <c r="K128" s="281">
        <f t="shared" si="67"/>
        <v>1</v>
      </c>
      <c r="L128" s="281">
        <f t="shared" si="67"/>
        <v>2</v>
      </c>
      <c r="M128" s="187">
        <f t="shared" ref="M128" si="70">J128*K128/60</f>
        <v>0.28111111111111114</v>
      </c>
      <c r="N128" s="187">
        <f t="shared" ref="N128" si="71">J128*L128/60</f>
        <v>0.56222222222222229</v>
      </c>
      <c r="O128" s="188" t="s">
        <v>713</v>
      </c>
      <c r="P128" s="189" t="s">
        <v>712</v>
      </c>
      <c r="Q128" s="188" t="s">
        <v>714</v>
      </c>
      <c r="R128" s="190"/>
      <c r="S128" s="191"/>
      <c r="T128" s="280"/>
      <c r="U128" s="189" t="s">
        <v>469</v>
      </c>
      <c r="V128" s="144"/>
    </row>
    <row r="129" spans="1:22" s="371" customFormat="1" ht="81" customHeight="1" thickBot="1" x14ac:dyDescent="0.3">
      <c r="A129" s="458">
        <v>7</v>
      </c>
      <c r="B129" s="373"/>
      <c r="C129" s="373"/>
      <c r="D129" s="373"/>
      <c r="E129" s="375"/>
      <c r="F129" s="376"/>
      <c r="G129" s="113" t="s">
        <v>752</v>
      </c>
      <c r="H129" s="184" t="s">
        <v>761</v>
      </c>
      <c r="I129" s="185">
        <v>2032</v>
      </c>
      <c r="J129" s="278">
        <f>Haselnusserlös!A38/2</f>
        <v>204.072</v>
      </c>
      <c r="K129" s="186">
        <v>1</v>
      </c>
      <c r="L129" s="186">
        <v>1</v>
      </c>
      <c r="M129" s="187">
        <f t="shared" ref="M129" si="72">J129*K129/60</f>
        <v>3.4012000000000002</v>
      </c>
      <c r="N129" s="187">
        <f t="shared" ref="N129" si="73">J129*L129/60</f>
        <v>3.4012000000000002</v>
      </c>
      <c r="O129" s="188" t="s">
        <v>760</v>
      </c>
      <c r="P129" s="279" t="s">
        <v>754</v>
      </c>
      <c r="Q129" s="315" t="s">
        <v>762</v>
      </c>
      <c r="R129" s="190" t="s">
        <v>763</v>
      </c>
      <c r="S129" s="191"/>
      <c r="T129" s="316" t="s">
        <v>764</v>
      </c>
      <c r="U129" s="316" t="s">
        <v>469</v>
      </c>
      <c r="V129" s="144">
        <f>Haselnusserlös!A31*(1+3%)^7</f>
        <v>1673.2187964332272</v>
      </c>
    </row>
    <row r="130" spans="1:22" s="78" customFormat="1" ht="36" customHeight="1" thickBot="1" x14ac:dyDescent="0.3">
      <c r="A130" s="87">
        <v>7</v>
      </c>
      <c r="B130" s="98">
        <f>(SUM(M121:M129)*D7)*(1+2%)^7</f>
        <v>393.07992915340554</v>
      </c>
      <c r="C130" s="98">
        <f>(SUM(N121:N129)*D8)*(1+2%)^7</f>
        <v>242.81991280974509</v>
      </c>
      <c r="D130" s="88">
        <f>SUM(S121:S129)</f>
        <v>1432.2674418501958</v>
      </c>
      <c r="E130" s="99">
        <f>SUM(B130:D130)</f>
        <v>2068.1672838133463</v>
      </c>
      <c r="F130" s="123">
        <f>SUM(V121:V129)</f>
        <v>3143.9265621855952</v>
      </c>
      <c r="G130" s="174"/>
      <c r="H130" s="73"/>
      <c r="I130" s="175"/>
      <c r="J130" s="74"/>
      <c r="K130" s="75"/>
      <c r="L130" s="75"/>
      <c r="M130" s="75"/>
      <c r="N130" s="75"/>
      <c r="O130" s="76"/>
      <c r="P130" s="176"/>
      <c r="Q130" s="177"/>
      <c r="R130" s="178"/>
      <c r="S130" s="179"/>
      <c r="T130" s="77"/>
      <c r="U130" s="180"/>
      <c r="V130" s="144"/>
    </row>
    <row r="131" spans="1:22" s="371" customFormat="1" ht="123" customHeight="1" x14ac:dyDescent="0.25">
      <c r="A131" s="456">
        <v>8</v>
      </c>
      <c r="B131" s="322"/>
      <c r="C131" s="322"/>
      <c r="D131" s="322"/>
      <c r="E131" s="323"/>
      <c r="F131" s="324"/>
      <c r="G131" s="200" t="s">
        <v>608</v>
      </c>
      <c r="H131" s="202" t="s">
        <v>607</v>
      </c>
      <c r="I131" s="171">
        <v>2033</v>
      </c>
      <c r="J131" s="198">
        <v>60</v>
      </c>
      <c r="K131" s="109">
        <v>1</v>
      </c>
      <c r="L131" s="182"/>
      <c r="M131" s="169">
        <f>J131*K131/60</f>
        <v>1</v>
      </c>
      <c r="N131" s="169">
        <f>J131*L131/60</f>
        <v>0</v>
      </c>
      <c r="O131" s="79" t="s">
        <v>610</v>
      </c>
      <c r="P131" s="110" t="s">
        <v>605</v>
      </c>
      <c r="Q131" s="101" t="s">
        <v>604</v>
      </c>
      <c r="R131" s="102"/>
      <c r="S131" s="103"/>
      <c r="T131" s="104" t="s">
        <v>611</v>
      </c>
      <c r="U131" s="72" t="s">
        <v>464</v>
      </c>
      <c r="V131" s="145"/>
    </row>
    <row r="132" spans="1:22" s="371" customFormat="1" ht="117.75" customHeight="1" x14ac:dyDescent="0.25">
      <c r="A132" s="456">
        <v>8</v>
      </c>
      <c r="B132" s="322"/>
      <c r="C132" s="322"/>
      <c r="D132" s="322"/>
      <c r="E132" s="323"/>
      <c r="F132" s="324"/>
      <c r="G132" s="201" t="s">
        <v>609</v>
      </c>
      <c r="H132" s="202" t="s">
        <v>606</v>
      </c>
      <c r="I132" s="171">
        <v>2033</v>
      </c>
      <c r="J132" s="199">
        <v>60</v>
      </c>
      <c r="K132" s="109">
        <v>1</v>
      </c>
      <c r="L132" s="182"/>
      <c r="M132" s="169">
        <f t="shared" ref="M132:M133" si="74">J132*K132/60</f>
        <v>1</v>
      </c>
      <c r="N132" s="169">
        <f t="shared" ref="N132:N133" si="75">J132*L132/60</f>
        <v>0</v>
      </c>
      <c r="O132" s="79" t="s">
        <v>610</v>
      </c>
      <c r="P132" s="110" t="s">
        <v>605</v>
      </c>
      <c r="Q132" s="172" t="s">
        <v>604</v>
      </c>
      <c r="R132" s="109"/>
      <c r="S132" s="173"/>
      <c r="T132" s="111" t="s">
        <v>611</v>
      </c>
      <c r="U132" s="72" t="s">
        <v>464</v>
      </c>
      <c r="V132" s="144"/>
    </row>
    <row r="133" spans="1:22" s="371" customFormat="1" ht="97.5" customHeight="1" x14ac:dyDescent="0.25">
      <c r="A133" s="456">
        <v>8</v>
      </c>
      <c r="B133" s="322"/>
      <c r="C133" s="322"/>
      <c r="D133" s="322"/>
      <c r="E133" s="323"/>
      <c r="F133" s="324"/>
      <c r="G133" s="201" t="s">
        <v>621</v>
      </c>
      <c r="H133" s="202" t="s">
        <v>622</v>
      </c>
      <c r="I133" s="171">
        <v>2033</v>
      </c>
      <c r="J133" s="105">
        <v>15</v>
      </c>
      <c r="K133" s="106">
        <v>1</v>
      </c>
      <c r="L133" s="182"/>
      <c r="M133" s="169">
        <f t="shared" si="74"/>
        <v>0.25</v>
      </c>
      <c r="N133" s="169">
        <f t="shared" si="75"/>
        <v>0</v>
      </c>
      <c r="O133" s="79" t="s">
        <v>623</v>
      </c>
      <c r="P133" s="170"/>
      <c r="Q133" s="172" t="s">
        <v>624</v>
      </c>
      <c r="R133" s="109" t="s">
        <v>625</v>
      </c>
      <c r="S133" s="173">
        <f>((46*25+36*5)/60*56.25)*(1+2%)^8</f>
        <v>1460.9127906871997</v>
      </c>
      <c r="T133" s="111" t="s">
        <v>647</v>
      </c>
      <c r="U133" s="170" t="s">
        <v>626</v>
      </c>
      <c r="V133" s="144"/>
    </row>
    <row r="134" spans="1:22" s="371" customFormat="1" ht="104.25" customHeight="1" x14ac:dyDescent="0.25">
      <c r="A134" s="456">
        <v>8</v>
      </c>
      <c r="B134" s="322"/>
      <c r="C134" s="322"/>
      <c r="D134" s="322"/>
      <c r="E134" s="323"/>
      <c r="F134" s="324"/>
      <c r="G134" s="113" t="s">
        <v>430</v>
      </c>
      <c r="H134" s="184" t="s">
        <v>470</v>
      </c>
      <c r="I134" s="185">
        <v>2033</v>
      </c>
      <c r="J134" s="112">
        <f>30*8</f>
        <v>240</v>
      </c>
      <c r="K134" s="186">
        <v>1</v>
      </c>
      <c r="L134" s="186"/>
      <c r="M134" s="187">
        <f>J134*K134/60</f>
        <v>4</v>
      </c>
      <c r="N134" s="187">
        <f>J134*L134/60</f>
        <v>0</v>
      </c>
      <c r="O134" s="188" t="s">
        <v>782</v>
      </c>
      <c r="P134" s="189" t="s">
        <v>472</v>
      </c>
      <c r="Q134" s="188"/>
      <c r="R134" s="190"/>
      <c r="S134" s="191"/>
      <c r="T134" s="188" t="s">
        <v>471</v>
      </c>
      <c r="U134" s="192" t="s">
        <v>464</v>
      </c>
      <c r="V134" s="144">
        <f>Futterlauberlös!A23*(1+3%)^8</f>
        <v>17.025389893849557</v>
      </c>
    </row>
    <row r="135" spans="1:22" s="371" customFormat="1" ht="104.25" customHeight="1" x14ac:dyDescent="0.25">
      <c r="A135" s="456">
        <v>8</v>
      </c>
      <c r="B135" s="322"/>
      <c r="C135" s="322"/>
      <c r="D135" s="322"/>
      <c r="E135" s="323"/>
      <c r="F135" s="324"/>
      <c r="G135" s="113" t="s">
        <v>679</v>
      </c>
      <c r="H135" s="184" t="s">
        <v>683</v>
      </c>
      <c r="I135" s="185">
        <v>2033</v>
      </c>
      <c r="J135" s="278">
        <f>Obsterlös!N53</f>
        <v>146.66666666666666</v>
      </c>
      <c r="K135" s="281">
        <f t="shared" ref="K135:L138" si="76">K115</f>
        <v>1</v>
      </c>
      <c r="L135" s="281">
        <f t="shared" si="76"/>
        <v>2</v>
      </c>
      <c r="M135" s="187">
        <f t="shared" ref="M135:M137" si="77">J135*K135/60</f>
        <v>2.4444444444444442</v>
      </c>
      <c r="N135" s="187">
        <f t="shared" ref="N135:N137" si="78">J135*L135/60</f>
        <v>4.8888888888888884</v>
      </c>
      <c r="O135" s="188" t="s">
        <v>687</v>
      </c>
      <c r="P135" s="189" t="s">
        <v>692</v>
      </c>
      <c r="Q135" s="188"/>
      <c r="R135" s="190"/>
      <c r="S135" s="191"/>
      <c r="T135" s="188" t="s">
        <v>693</v>
      </c>
      <c r="U135" s="189" t="s">
        <v>711</v>
      </c>
      <c r="V135" s="144">
        <f>SUM(Obsterlös!H59+Obsterlös!I59)*(1+3%)^8</f>
        <v>393.96549531154858</v>
      </c>
    </row>
    <row r="136" spans="1:22" s="371" customFormat="1" ht="104.25" customHeight="1" x14ac:dyDescent="0.25">
      <c r="A136" s="456">
        <v>8</v>
      </c>
      <c r="B136" s="322"/>
      <c r="C136" s="322"/>
      <c r="D136" s="322"/>
      <c r="E136" s="323"/>
      <c r="F136" s="324"/>
      <c r="G136" s="113" t="s">
        <v>680</v>
      </c>
      <c r="H136" s="184" t="s">
        <v>683</v>
      </c>
      <c r="I136" s="185">
        <v>2033</v>
      </c>
      <c r="J136" s="278">
        <f>Obsterlös!N54</f>
        <v>132</v>
      </c>
      <c r="K136" s="281">
        <f t="shared" si="76"/>
        <v>1</v>
      </c>
      <c r="L136" s="281">
        <f t="shared" si="76"/>
        <v>2</v>
      </c>
      <c r="M136" s="187">
        <f t="shared" si="77"/>
        <v>2.2000000000000002</v>
      </c>
      <c r="N136" s="187">
        <f t="shared" si="78"/>
        <v>4.4000000000000004</v>
      </c>
      <c r="O136" s="188" t="s">
        <v>687</v>
      </c>
      <c r="P136" s="189" t="s">
        <v>692</v>
      </c>
      <c r="Q136" s="188"/>
      <c r="R136" s="190"/>
      <c r="S136" s="191"/>
      <c r="T136" s="188" t="s">
        <v>693</v>
      </c>
      <c r="U136" s="189" t="s">
        <v>711</v>
      </c>
      <c r="V136" s="144">
        <f>SUM(Obsterlös!H60,Obsterlös!I60)*(1+3%)^8</f>
        <v>443.49620549380438</v>
      </c>
    </row>
    <row r="137" spans="1:22" s="371" customFormat="1" ht="104.25" customHeight="1" x14ac:dyDescent="0.25">
      <c r="A137" s="456">
        <v>8</v>
      </c>
      <c r="B137" s="322"/>
      <c r="C137" s="322"/>
      <c r="D137" s="322"/>
      <c r="E137" s="323"/>
      <c r="F137" s="324"/>
      <c r="G137" s="113" t="s">
        <v>681</v>
      </c>
      <c r="H137" s="184" t="s">
        <v>683</v>
      </c>
      <c r="I137" s="185">
        <v>2033</v>
      </c>
      <c r="J137" s="278">
        <f>Obsterlös!N55</f>
        <v>58.666666666666664</v>
      </c>
      <c r="K137" s="281">
        <f t="shared" si="76"/>
        <v>1</v>
      </c>
      <c r="L137" s="281">
        <f t="shared" si="76"/>
        <v>2</v>
      </c>
      <c r="M137" s="187">
        <f t="shared" si="77"/>
        <v>0.97777777777777775</v>
      </c>
      <c r="N137" s="187">
        <f t="shared" si="78"/>
        <v>1.9555555555555555</v>
      </c>
      <c r="O137" s="188" t="s">
        <v>687</v>
      </c>
      <c r="P137" s="189" t="s">
        <v>692</v>
      </c>
      <c r="Q137" s="188"/>
      <c r="R137" s="190"/>
      <c r="S137" s="191"/>
      <c r="T137" s="188" t="s">
        <v>690</v>
      </c>
      <c r="U137" s="189" t="s">
        <v>711</v>
      </c>
      <c r="V137" s="144">
        <f>SUM(Obsterlös!H64)*(1+3%)^8</f>
        <v>660.34190802573642</v>
      </c>
    </row>
    <row r="138" spans="1:22" s="371" customFormat="1" ht="104.25" customHeight="1" x14ac:dyDescent="0.25">
      <c r="A138" s="456">
        <v>8</v>
      </c>
      <c r="B138" s="322"/>
      <c r="C138" s="322"/>
      <c r="D138" s="322"/>
      <c r="E138" s="323"/>
      <c r="F138" s="324"/>
      <c r="G138" s="113" t="s">
        <v>3</v>
      </c>
      <c r="H138" s="184" t="s">
        <v>779</v>
      </c>
      <c r="I138" s="185">
        <v>2033</v>
      </c>
      <c r="J138" s="278">
        <f>SUM(J135:J137)*0.05</f>
        <v>16.866666666666667</v>
      </c>
      <c r="K138" s="281">
        <f t="shared" si="76"/>
        <v>1</v>
      </c>
      <c r="L138" s="281">
        <f t="shared" si="76"/>
        <v>2</v>
      </c>
      <c r="M138" s="187">
        <f t="shared" ref="M138" si="79">J138*K138/60</f>
        <v>0.28111111111111114</v>
      </c>
      <c r="N138" s="187">
        <f t="shared" ref="N138" si="80">J138*L138/60</f>
        <v>0.56222222222222229</v>
      </c>
      <c r="O138" s="188" t="s">
        <v>713</v>
      </c>
      <c r="P138" s="189" t="s">
        <v>712</v>
      </c>
      <c r="Q138" s="188" t="s">
        <v>714</v>
      </c>
      <c r="R138" s="190"/>
      <c r="S138" s="191"/>
      <c r="T138" s="280"/>
      <c r="U138" s="189" t="s">
        <v>469</v>
      </c>
      <c r="V138" s="144"/>
    </row>
    <row r="139" spans="1:22" s="371" customFormat="1" ht="78.75" customHeight="1" thickBot="1" x14ac:dyDescent="0.3">
      <c r="A139" s="456">
        <v>8</v>
      </c>
      <c r="B139" s="322"/>
      <c r="C139" s="322"/>
      <c r="D139" s="322"/>
      <c r="E139" s="323"/>
      <c r="F139" s="324"/>
      <c r="G139" s="113" t="s">
        <v>752</v>
      </c>
      <c r="H139" s="184" t="s">
        <v>761</v>
      </c>
      <c r="I139" s="185">
        <v>2033</v>
      </c>
      <c r="J139" s="278">
        <f>Haselnusserlös!A38/2</f>
        <v>204.072</v>
      </c>
      <c r="K139" s="186">
        <v>1</v>
      </c>
      <c r="L139" s="186">
        <v>1</v>
      </c>
      <c r="M139" s="187">
        <f t="shared" ref="M139" si="81">J139*K139/60</f>
        <v>3.4012000000000002</v>
      </c>
      <c r="N139" s="187">
        <f t="shared" ref="N139" si="82">J139*L139/60</f>
        <v>3.4012000000000002</v>
      </c>
      <c r="O139" s="188" t="s">
        <v>760</v>
      </c>
      <c r="P139" s="279" t="s">
        <v>754</v>
      </c>
      <c r="Q139" s="315" t="s">
        <v>762</v>
      </c>
      <c r="R139" s="190" t="s">
        <v>763</v>
      </c>
      <c r="S139" s="191"/>
      <c r="T139" s="316" t="s">
        <v>764</v>
      </c>
      <c r="U139" s="316" t="s">
        <v>469</v>
      </c>
      <c r="V139" s="144">
        <f>Haselnusserlös!A31*(1+3%)^8</f>
        <v>1723.4153603262237</v>
      </c>
    </row>
    <row r="140" spans="1:22" s="78" customFormat="1" ht="36" customHeight="1" thickBot="1" x14ac:dyDescent="0.3">
      <c r="A140" s="87">
        <v>8</v>
      </c>
      <c r="B140" s="98">
        <f>(SUM(M131:M139)*D7)*(1+2%)^8</f>
        <v>400.94152773647369</v>
      </c>
      <c r="C140" s="98">
        <f>(SUM(N131:N139)*D8)*(1+2%)^8</f>
        <v>247.67631106594001</v>
      </c>
      <c r="D140" s="88">
        <f>SUM(S131:S139)</f>
        <v>1460.9127906871997</v>
      </c>
      <c r="E140" s="99">
        <f>SUM(B140:D140)</f>
        <v>2109.5306294896136</v>
      </c>
      <c r="F140" s="123">
        <f>SUM(V131:V139)</f>
        <v>3238.244359051163</v>
      </c>
      <c r="G140" s="174"/>
      <c r="H140" s="73"/>
      <c r="I140" s="175"/>
      <c r="J140" s="74"/>
      <c r="K140" s="75"/>
      <c r="L140" s="75"/>
      <c r="M140" s="75"/>
      <c r="N140" s="75"/>
      <c r="O140" s="76"/>
      <c r="P140" s="176"/>
      <c r="Q140" s="177"/>
      <c r="R140" s="178"/>
      <c r="S140" s="179"/>
      <c r="T140" s="77"/>
      <c r="U140" s="180"/>
      <c r="V140" s="144"/>
    </row>
    <row r="141" spans="1:22" s="371" customFormat="1" ht="130.5" customHeight="1" x14ac:dyDescent="0.25">
      <c r="A141" s="456">
        <v>9</v>
      </c>
      <c r="B141" s="322"/>
      <c r="C141" s="322"/>
      <c r="D141" s="322"/>
      <c r="E141" s="323"/>
      <c r="F141" s="324"/>
      <c r="G141" s="200" t="s">
        <v>608</v>
      </c>
      <c r="H141" s="202" t="s">
        <v>607</v>
      </c>
      <c r="I141" s="171">
        <v>2034</v>
      </c>
      <c r="J141" s="198">
        <v>60</v>
      </c>
      <c r="K141" s="109">
        <v>1</v>
      </c>
      <c r="L141" s="182"/>
      <c r="M141" s="169">
        <f>J141*K141/60</f>
        <v>1</v>
      </c>
      <c r="N141" s="169">
        <f>J141*L141/60</f>
        <v>0</v>
      </c>
      <c r="O141" s="79" t="s">
        <v>610</v>
      </c>
      <c r="P141" s="110" t="s">
        <v>605</v>
      </c>
      <c r="Q141" s="101" t="s">
        <v>604</v>
      </c>
      <c r="R141" s="102"/>
      <c r="S141" s="103"/>
      <c r="T141" s="104" t="s">
        <v>611</v>
      </c>
      <c r="U141" s="72" t="s">
        <v>464</v>
      </c>
      <c r="V141" s="145"/>
    </row>
    <row r="142" spans="1:22" s="371" customFormat="1" ht="117.75" customHeight="1" x14ac:dyDescent="0.25">
      <c r="A142" s="456">
        <v>9</v>
      </c>
      <c r="B142" s="322"/>
      <c r="C142" s="322"/>
      <c r="D142" s="322"/>
      <c r="E142" s="323"/>
      <c r="F142" s="324"/>
      <c r="G142" s="201" t="s">
        <v>609</v>
      </c>
      <c r="H142" s="202" t="s">
        <v>606</v>
      </c>
      <c r="I142" s="171">
        <v>2034</v>
      </c>
      <c r="J142" s="199">
        <v>60</v>
      </c>
      <c r="K142" s="109">
        <v>1</v>
      </c>
      <c r="L142" s="182"/>
      <c r="M142" s="169">
        <f t="shared" ref="M142:M143" si="83">J142*K142/60</f>
        <v>1</v>
      </c>
      <c r="N142" s="169">
        <f t="shared" ref="N142:N143" si="84">J142*L142/60</f>
        <v>0</v>
      </c>
      <c r="O142" s="79" t="s">
        <v>610</v>
      </c>
      <c r="P142" s="110" t="s">
        <v>605</v>
      </c>
      <c r="Q142" s="101" t="s">
        <v>604</v>
      </c>
      <c r="R142" s="102"/>
      <c r="S142" s="103"/>
      <c r="T142" s="104" t="s">
        <v>611</v>
      </c>
      <c r="U142" s="72" t="s">
        <v>464</v>
      </c>
      <c r="V142" s="144"/>
    </row>
    <row r="143" spans="1:22" s="371" customFormat="1" ht="89.25" customHeight="1" x14ac:dyDescent="0.25">
      <c r="A143" s="456">
        <v>9</v>
      </c>
      <c r="B143" s="322"/>
      <c r="C143" s="322"/>
      <c r="D143" s="322"/>
      <c r="E143" s="323"/>
      <c r="F143" s="324"/>
      <c r="G143" s="201" t="s">
        <v>621</v>
      </c>
      <c r="H143" s="202" t="s">
        <v>622</v>
      </c>
      <c r="I143" s="171">
        <v>2034</v>
      </c>
      <c r="J143" s="105">
        <v>15</v>
      </c>
      <c r="K143" s="106">
        <v>1</v>
      </c>
      <c r="L143" s="182"/>
      <c r="M143" s="169">
        <f t="shared" si="83"/>
        <v>0.25</v>
      </c>
      <c r="N143" s="169">
        <f t="shared" si="84"/>
        <v>0</v>
      </c>
      <c r="O143" s="79" t="s">
        <v>623</v>
      </c>
      <c r="P143" s="170"/>
      <c r="Q143" s="172" t="s">
        <v>624</v>
      </c>
      <c r="R143" s="109" t="s">
        <v>625</v>
      </c>
      <c r="S143" s="173">
        <f>((46*25+36*5)/60*56.25)*(1+2%)^9</f>
        <v>1490.1310465009437</v>
      </c>
      <c r="T143" s="111" t="s">
        <v>647</v>
      </c>
      <c r="U143" s="170" t="s">
        <v>626</v>
      </c>
      <c r="V143" s="144"/>
    </row>
    <row r="144" spans="1:22" s="371" customFormat="1" ht="78.75" customHeight="1" x14ac:dyDescent="0.25">
      <c r="A144" s="456">
        <v>9</v>
      </c>
      <c r="B144" s="322"/>
      <c r="C144" s="322"/>
      <c r="D144" s="322"/>
      <c r="E144" s="323"/>
      <c r="F144" s="324"/>
      <c r="G144" s="113" t="s">
        <v>430</v>
      </c>
      <c r="H144" s="184" t="s">
        <v>470</v>
      </c>
      <c r="I144" s="185">
        <v>2034</v>
      </c>
      <c r="J144" s="112">
        <f>30*8</f>
        <v>240</v>
      </c>
      <c r="K144" s="186">
        <v>1</v>
      </c>
      <c r="L144" s="186"/>
      <c r="M144" s="187">
        <f>J144*K144/60</f>
        <v>4</v>
      </c>
      <c r="N144" s="187">
        <f>J144*L144/60</f>
        <v>0</v>
      </c>
      <c r="O144" s="188" t="s">
        <v>782</v>
      </c>
      <c r="P144" s="189" t="s">
        <v>472</v>
      </c>
      <c r="Q144" s="188"/>
      <c r="R144" s="190"/>
      <c r="S144" s="191"/>
      <c r="T144" s="188" t="s">
        <v>471</v>
      </c>
      <c r="U144" s="192" t="s">
        <v>464</v>
      </c>
      <c r="V144" s="144">
        <f>Futterlauberlös!A23*(1+3%)^9</f>
        <v>17.536151590665046</v>
      </c>
    </row>
    <row r="145" spans="1:22" s="371" customFormat="1" ht="78.75" customHeight="1" x14ac:dyDescent="0.25">
      <c r="A145" s="456">
        <v>9</v>
      </c>
      <c r="B145" s="322"/>
      <c r="C145" s="322"/>
      <c r="D145" s="322"/>
      <c r="E145" s="323"/>
      <c r="F145" s="376"/>
      <c r="G145" s="113" t="s">
        <v>679</v>
      </c>
      <c r="H145" s="184" t="s">
        <v>683</v>
      </c>
      <c r="I145" s="185">
        <v>2034</v>
      </c>
      <c r="J145" s="278">
        <f>Obsterlös!N53</f>
        <v>146.66666666666666</v>
      </c>
      <c r="K145" s="281">
        <f t="shared" ref="K145:L148" si="85">K115</f>
        <v>1</v>
      </c>
      <c r="L145" s="281">
        <f t="shared" si="85"/>
        <v>2</v>
      </c>
      <c r="M145" s="187">
        <f t="shared" ref="M145:M147" si="86">J145*K145/60</f>
        <v>2.4444444444444442</v>
      </c>
      <c r="N145" s="187">
        <f t="shared" ref="N145:N147" si="87">J145*L145/60</f>
        <v>4.8888888888888884</v>
      </c>
      <c r="O145" s="188" t="s">
        <v>687</v>
      </c>
      <c r="P145" s="189" t="s">
        <v>692</v>
      </c>
      <c r="Q145" s="188"/>
      <c r="R145" s="190"/>
      <c r="S145" s="191"/>
      <c r="T145" s="188" t="s">
        <v>693</v>
      </c>
      <c r="U145" s="189" t="s">
        <v>711</v>
      </c>
      <c r="V145" s="144">
        <f>SUM(Obsterlös!H59+Obsterlös!I59)*(1+3%)^9</f>
        <v>405.78446017089504</v>
      </c>
    </row>
    <row r="146" spans="1:22" s="371" customFormat="1" ht="78.75" customHeight="1" x14ac:dyDescent="0.25">
      <c r="A146" s="456">
        <v>9</v>
      </c>
      <c r="B146" s="322"/>
      <c r="C146" s="322"/>
      <c r="D146" s="322"/>
      <c r="E146" s="323"/>
      <c r="F146" s="324"/>
      <c r="G146" s="113" t="s">
        <v>680</v>
      </c>
      <c r="H146" s="184" t="s">
        <v>683</v>
      </c>
      <c r="I146" s="185">
        <v>2034</v>
      </c>
      <c r="J146" s="278">
        <f>Obsterlös!N54</f>
        <v>132</v>
      </c>
      <c r="K146" s="281">
        <f t="shared" si="85"/>
        <v>1</v>
      </c>
      <c r="L146" s="281">
        <f t="shared" si="85"/>
        <v>2</v>
      </c>
      <c r="M146" s="187">
        <f t="shared" si="86"/>
        <v>2.2000000000000002</v>
      </c>
      <c r="N146" s="187">
        <f t="shared" si="87"/>
        <v>4.4000000000000004</v>
      </c>
      <c r="O146" s="188" t="s">
        <v>687</v>
      </c>
      <c r="P146" s="189" t="s">
        <v>692</v>
      </c>
      <c r="Q146" s="188"/>
      <c r="R146" s="190"/>
      <c r="S146" s="191"/>
      <c r="T146" s="188" t="s">
        <v>693</v>
      </c>
      <c r="U146" s="189" t="s">
        <v>711</v>
      </c>
      <c r="V146" s="144">
        <f>SUM(Obsterlös!H60,Obsterlös!I60)*(1+3%)^9</f>
        <v>456.80109165861853</v>
      </c>
    </row>
    <row r="147" spans="1:22" s="371" customFormat="1" ht="78.75" customHeight="1" x14ac:dyDescent="0.25">
      <c r="A147" s="456">
        <v>9</v>
      </c>
      <c r="B147" s="322"/>
      <c r="C147" s="322"/>
      <c r="D147" s="322"/>
      <c r="E147" s="323"/>
      <c r="F147" s="376"/>
      <c r="G147" s="113" t="s">
        <v>681</v>
      </c>
      <c r="H147" s="184" t="s">
        <v>683</v>
      </c>
      <c r="I147" s="185">
        <v>2034</v>
      </c>
      <c r="J147" s="278">
        <f>Obsterlös!N55</f>
        <v>58.666666666666664</v>
      </c>
      <c r="K147" s="281">
        <f t="shared" si="85"/>
        <v>1</v>
      </c>
      <c r="L147" s="281">
        <f t="shared" si="85"/>
        <v>2</v>
      </c>
      <c r="M147" s="187">
        <f t="shared" si="86"/>
        <v>0.97777777777777775</v>
      </c>
      <c r="N147" s="187">
        <f t="shared" si="87"/>
        <v>1.9555555555555555</v>
      </c>
      <c r="O147" s="188" t="s">
        <v>687</v>
      </c>
      <c r="P147" s="189" t="s">
        <v>692</v>
      </c>
      <c r="Q147" s="188"/>
      <c r="R147" s="190"/>
      <c r="S147" s="191"/>
      <c r="T147" s="188" t="s">
        <v>690</v>
      </c>
      <c r="U147" s="189" t="s">
        <v>711</v>
      </c>
      <c r="V147" s="144">
        <f>SUM(Obsterlös!H64)*(1+3%)^9</f>
        <v>680.15216526650852</v>
      </c>
    </row>
    <row r="148" spans="1:22" s="371" customFormat="1" ht="78.75" customHeight="1" x14ac:dyDescent="0.25">
      <c r="A148" s="456">
        <v>9</v>
      </c>
      <c r="B148" s="322"/>
      <c r="C148" s="322"/>
      <c r="D148" s="322"/>
      <c r="E148" s="323"/>
      <c r="F148" s="324"/>
      <c r="G148" s="113" t="s">
        <v>3</v>
      </c>
      <c r="H148" s="184" t="s">
        <v>779</v>
      </c>
      <c r="I148" s="185">
        <v>2034</v>
      </c>
      <c r="J148" s="278">
        <f>Haselnusserlös!A38/2</f>
        <v>204.072</v>
      </c>
      <c r="K148" s="281">
        <f t="shared" si="85"/>
        <v>1</v>
      </c>
      <c r="L148" s="281">
        <f t="shared" si="85"/>
        <v>2</v>
      </c>
      <c r="M148" s="187">
        <f t="shared" ref="M148" si="88">J148*K148/60</f>
        <v>3.4012000000000002</v>
      </c>
      <c r="N148" s="187">
        <f t="shared" ref="N148" si="89">J148*L148/60</f>
        <v>6.8024000000000004</v>
      </c>
      <c r="O148" s="188" t="s">
        <v>713</v>
      </c>
      <c r="P148" s="189" t="s">
        <v>712</v>
      </c>
      <c r="Q148" s="188" t="s">
        <v>714</v>
      </c>
      <c r="R148" s="190"/>
      <c r="S148" s="191"/>
      <c r="T148" s="280"/>
      <c r="U148" s="189" t="s">
        <v>469</v>
      </c>
      <c r="V148" s="144"/>
    </row>
    <row r="149" spans="1:22" s="371" customFormat="1" ht="92.25" customHeight="1" thickBot="1" x14ac:dyDescent="0.3">
      <c r="A149" s="456">
        <v>9</v>
      </c>
      <c r="B149" s="455"/>
      <c r="C149" s="373"/>
      <c r="D149" s="373"/>
      <c r="E149" s="375"/>
      <c r="F149" s="376"/>
      <c r="G149" s="113" t="s">
        <v>752</v>
      </c>
      <c r="H149" s="184" t="s">
        <v>761</v>
      </c>
      <c r="I149" s="185">
        <v>2034</v>
      </c>
      <c r="J149" s="278">
        <f>SUM(J146:J148)*0.05</f>
        <v>19.736933333333333</v>
      </c>
      <c r="K149" s="186">
        <v>1</v>
      </c>
      <c r="L149" s="186">
        <v>1</v>
      </c>
      <c r="M149" s="187">
        <f t="shared" ref="M149" si="90">J149*K149/60</f>
        <v>0.3289488888888889</v>
      </c>
      <c r="N149" s="187">
        <f t="shared" ref="N149" si="91">J149*L149/60</f>
        <v>0.3289488888888889</v>
      </c>
      <c r="O149" s="188" t="s">
        <v>760</v>
      </c>
      <c r="P149" s="279" t="s">
        <v>754</v>
      </c>
      <c r="Q149" s="315" t="s">
        <v>762</v>
      </c>
      <c r="R149" s="190" t="s">
        <v>763</v>
      </c>
      <c r="S149" s="191"/>
      <c r="T149" s="316" t="s">
        <v>764</v>
      </c>
      <c r="U149" s="316" t="s">
        <v>469</v>
      </c>
      <c r="V149" s="144">
        <f>Haselnusserlös!A31*(1+3%)^9</f>
        <v>1775.1178211360104</v>
      </c>
    </row>
    <row r="150" spans="1:22" s="78" customFormat="1" ht="36" customHeight="1" thickBot="1" x14ac:dyDescent="0.3">
      <c r="A150" s="87">
        <v>9</v>
      </c>
      <c r="B150" s="98">
        <f>(SUM(M141:M149)*D7)*(1+2%)^9</f>
        <v>410.21811089107899</v>
      </c>
      <c r="C150" s="98">
        <f>(SUM(N141:N149)*D8)*(1+2%)^9</f>
        <v>305.25475936736439</v>
      </c>
      <c r="D150" s="88">
        <f>SUM(S141:S144)</f>
        <v>1490.1310465009437</v>
      </c>
      <c r="E150" s="99">
        <f>SUM(B150:D150)</f>
        <v>2205.6039167593872</v>
      </c>
      <c r="F150" s="123">
        <f>SUM(V141:V149)</f>
        <v>3335.3916898226976</v>
      </c>
      <c r="G150" s="174"/>
      <c r="H150" s="73"/>
      <c r="I150" s="175"/>
      <c r="J150" s="74"/>
      <c r="K150" s="75"/>
      <c r="L150" s="75"/>
      <c r="M150" s="75"/>
      <c r="N150" s="75"/>
      <c r="O150" s="76"/>
      <c r="P150" s="176"/>
      <c r="Q150" s="177"/>
      <c r="R150" s="178"/>
      <c r="S150" s="179"/>
      <c r="T150" s="77"/>
      <c r="U150" s="180"/>
      <c r="V150" s="144"/>
    </row>
    <row r="151" spans="1:22" s="371" customFormat="1" ht="119.25" customHeight="1" x14ac:dyDescent="0.25">
      <c r="A151" s="456">
        <v>10</v>
      </c>
      <c r="B151" s="322"/>
      <c r="C151" s="322"/>
      <c r="D151" s="322"/>
      <c r="E151" s="323"/>
      <c r="F151" s="324"/>
      <c r="G151" s="200" t="s">
        <v>608</v>
      </c>
      <c r="H151" s="202" t="s">
        <v>607</v>
      </c>
      <c r="I151" s="171">
        <v>2035</v>
      </c>
      <c r="J151" s="198">
        <v>60</v>
      </c>
      <c r="K151" s="109">
        <v>1</v>
      </c>
      <c r="L151" s="182"/>
      <c r="M151" s="169">
        <f>J151*K151/60</f>
        <v>1</v>
      </c>
      <c r="N151" s="169">
        <f>J151*L151/60</f>
        <v>0</v>
      </c>
      <c r="O151" s="79" t="s">
        <v>610</v>
      </c>
      <c r="P151" s="110" t="s">
        <v>605</v>
      </c>
      <c r="Q151" s="101" t="s">
        <v>604</v>
      </c>
      <c r="R151" s="102"/>
      <c r="S151" s="103"/>
      <c r="T151" s="104" t="s">
        <v>611</v>
      </c>
      <c r="U151" s="72" t="s">
        <v>464</v>
      </c>
      <c r="V151" s="145"/>
    </row>
    <row r="152" spans="1:22" s="371" customFormat="1" ht="125.25" customHeight="1" x14ac:dyDescent="0.25">
      <c r="A152" s="456">
        <v>10</v>
      </c>
      <c r="B152" s="322"/>
      <c r="C152" s="322"/>
      <c r="D152" s="322"/>
      <c r="E152" s="323"/>
      <c r="F152" s="324"/>
      <c r="G152" s="201" t="s">
        <v>609</v>
      </c>
      <c r="H152" s="202" t="s">
        <v>606</v>
      </c>
      <c r="I152" s="171">
        <v>2035</v>
      </c>
      <c r="J152" s="199">
        <v>60</v>
      </c>
      <c r="K152" s="109">
        <v>1</v>
      </c>
      <c r="L152" s="182"/>
      <c r="M152" s="169">
        <f t="shared" ref="M152:M153" si="92">J152*K152/60</f>
        <v>1</v>
      </c>
      <c r="N152" s="169">
        <f t="shared" ref="N152:N153" si="93">J152*L152/60</f>
        <v>0</v>
      </c>
      <c r="O152" s="79" t="s">
        <v>610</v>
      </c>
      <c r="P152" s="110" t="s">
        <v>605</v>
      </c>
      <c r="Q152" s="172" t="s">
        <v>604</v>
      </c>
      <c r="R152" s="109"/>
      <c r="S152" s="173"/>
      <c r="T152" s="111" t="s">
        <v>611</v>
      </c>
      <c r="U152" s="72" t="s">
        <v>464</v>
      </c>
      <c r="V152" s="144"/>
    </row>
    <row r="153" spans="1:22" s="371" customFormat="1" ht="87.75" customHeight="1" x14ac:dyDescent="0.25">
      <c r="A153" s="456">
        <v>10</v>
      </c>
      <c r="B153" s="322"/>
      <c r="C153" s="322"/>
      <c r="D153" s="322"/>
      <c r="E153" s="323"/>
      <c r="F153" s="324"/>
      <c r="G153" s="201" t="s">
        <v>621</v>
      </c>
      <c r="H153" s="202" t="s">
        <v>622</v>
      </c>
      <c r="I153" s="171">
        <v>2035</v>
      </c>
      <c r="J153" s="105">
        <v>15</v>
      </c>
      <c r="K153" s="106">
        <v>1</v>
      </c>
      <c r="L153" s="182"/>
      <c r="M153" s="169">
        <f t="shared" si="92"/>
        <v>0.25</v>
      </c>
      <c r="N153" s="169">
        <f t="shared" si="93"/>
        <v>0</v>
      </c>
      <c r="O153" s="79" t="s">
        <v>623</v>
      </c>
      <c r="P153" s="170"/>
      <c r="Q153" s="172" t="s">
        <v>624</v>
      </c>
      <c r="R153" s="109" t="s">
        <v>625</v>
      </c>
      <c r="S153" s="173">
        <f>((46*25+36*5)/60*56.25)*(1+2%)^10</f>
        <v>1519.9336674309627</v>
      </c>
      <c r="T153" s="111" t="s">
        <v>647</v>
      </c>
      <c r="U153" s="170" t="s">
        <v>626</v>
      </c>
      <c r="V153" s="144"/>
    </row>
    <row r="154" spans="1:22" s="371" customFormat="1" ht="91.5" customHeight="1" x14ac:dyDescent="0.25">
      <c r="A154" s="456">
        <v>10</v>
      </c>
      <c r="B154" s="322"/>
      <c r="C154" s="322"/>
      <c r="D154" s="322"/>
      <c r="E154" s="323"/>
      <c r="F154" s="324"/>
      <c r="G154" s="113" t="s">
        <v>430</v>
      </c>
      <c r="H154" s="184" t="s">
        <v>470</v>
      </c>
      <c r="I154" s="185">
        <v>2035</v>
      </c>
      <c r="J154" s="112">
        <f>30*8</f>
        <v>240</v>
      </c>
      <c r="K154" s="186">
        <v>1</v>
      </c>
      <c r="L154" s="186"/>
      <c r="M154" s="187">
        <f>J154*K154/60</f>
        <v>4</v>
      </c>
      <c r="N154" s="187">
        <f>J154*L154/60</f>
        <v>0</v>
      </c>
      <c r="O154" s="188" t="s">
        <v>782</v>
      </c>
      <c r="P154" s="189" t="s">
        <v>472</v>
      </c>
      <c r="Q154" s="188"/>
      <c r="R154" s="190"/>
      <c r="S154" s="191"/>
      <c r="T154" s="188" t="s">
        <v>471</v>
      </c>
      <c r="U154" s="192" t="s">
        <v>464</v>
      </c>
      <c r="V154" s="144">
        <f>Futterlauberlös!A23*(1+3%)^10</f>
        <v>18.062236138384996</v>
      </c>
    </row>
    <row r="155" spans="1:22" s="371" customFormat="1" ht="91.5" customHeight="1" x14ac:dyDescent="0.25">
      <c r="A155" s="456">
        <v>10</v>
      </c>
      <c r="B155" s="322"/>
      <c r="C155" s="322"/>
      <c r="D155" s="322"/>
      <c r="E155" s="323"/>
      <c r="F155" s="324"/>
      <c r="G155" s="113" t="s">
        <v>679</v>
      </c>
      <c r="H155" s="184" t="s">
        <v>683</v>
      </c>
      <c r="I155" s="185">
        <v>2035</v>
      </c>
      <c r="J155" s="278">
        <f>Obsterlös!N53</f>
        <v>146.66666666666666</v>
      </c>
      <c r="K155" s="281">
        <f t="shared" ref="K155:L158" si="94">K115</f>
        <v>1</v>
      </c>
      <c r="L155" s="281">
        <f t="shared" si="94"/>
        <v>2</v>
      </c>
      <c r="M155" s="187">
        <f t="shared" ref="M155:M157" si="95">J155*K155/60</f>
        <v>2.4444444444444442</v>
      </c>
      <c r="N155" s="187">
        <f t="shared" ref="N155:N157" si="96">J155*L155/60</f>
        <v>4.8888888888888884</v>
      </c>
      <c r="O155" s="188" t="s">
        <v>687</v>
      </c>
      <c r="P155" s="189" t="s">
        <v>692</v>
      </c>
      <c r="Q155" s="188"/>
      <c r="R155" s="190"/>
      <c r="S155" s="191"/>
      <c r="T155" s="188" t="s">
        <v>693</v>
      </c>
      <c r="U155" s="189" t="s">
        <v>711</v>
      </c>
      <c r="V155" s="144">
        <f>SUM(Obsterlös!H59+Obsterlös!I59)*(1+3%)^10</f>
        <v>417.9579939760219</v>
      </c>
    </row>
    <row r="156" spans="1:22" s="371" customFormat="1" ht="91.5" customHeight="1" x14ac:dyDescent="0.25">
      <c r="A156" s="456">
        <v>10</v>
      </c>
      <c r="B156" s="322"/>
      <c r="C156" s="322"/>
      <c r="D156" s="322"/>
      <c r="E156" s="323"/>
      <c r="F156" s="324"/>
      <c r="G156" s="113" t="s">
        <v>680</v>
      </c>
      <c r="H156" s="184" t="s">
        <v>683</v>
      </c>
      <c r="I156" s="185">
        <v>2035</v>
      </c>
      <c r="J156" s="278">
        <f>Obsterlös!N54</f>
        <v>132</v>
      </c>
      <c r="K156" s="281">
        <f t="shared" si="94"/>
        <v>1</v>
      </c>
      <c r="L156" s="281">
        <f t="shared" si="94"/>
        <v>2</v>
      </c>
      <c r="M156" s="187">
        <f t="shared" si="95"/>
        <v>2.2000000000000002</v>
      </c>
      <c r="N156" s="187">
        <f t="shared" si="96"/>
        <v>4.4000000000000004</v>
      </c>
      <c r="O156" s="188" t="s">
        <v>687</v>
      </c>
      <c r="P156" s="189" t="s">
        <v>692</v>
      </c>
      <c r="Q156" s="188"/>
      <c r="R156" s="190"/>
      <c r="S156" s="191"/>
      <c r="T156" s="188" t="s">
        <v>693</v>
      </c>
      <c r="U156" s="189" t="s">
        <v>711</v>
      </c>
      <c r="V156" s="144">
        <f>SUM(Obsterlös!H60,Obsterlös!I60)*(1+3%)^10</f>
        <v>470.50512440837707</v>
      </c>
    </row>
    <row r="157" spans="1:22" s="371" customFormat="1" ht="91.5" customHeight="1" x14ac:dyDescent="0.25">
      <c r="A157" s="456">
        <v>10</v>
      </c>
      <c r="B157" s="322"/>
      <c r="C157" s="322"/>
      <c r="D157" s="322"/>
      <c r="E157" s="323"/>
      <c r="F157" s="324"/>
      <c r="G157" s="113" t="s">
        <v>681</v>
      </c>
      <c r="H157" s="184" t="s">
        <v>683</v>
      </c>
      <c r="I157" s="185">
        <v>2035</v>
      </c>
      <c r="J157" s="278">
        <f>Obsterlös!N55</f>
        <v>58.666666666666664</v>
      </c>
      <c r="K157" s="281">
        <f t="shared" si="94"/>
        <v>1</v>
      </c>
      <c r="L157" s="281">
        <f t="shared" si="94"/>
        <v>2</v>
      </c>
      <c r="M157" s="187">
        <f t="shared" si="95"/>
        <v>0.97777777777777775</v>
      </c>
      <c r="N157" s="187">
        <f t="shared" si="96"/>
        <v>1.9555555555555555</v>
      </c>
      <c r="O157" s="188" t="s">
        <v>687</v>
      </c>
      <c r="P157" s="189" t="s">
        <v>692</v>
      </c>
      <c r="Q157" s="188"/>
      <c r="R157" s="190"/>
      <c r="S157" s="191"/>
      <c r="T157" s="188" t="s">
        <v>690</v>
      </c>
      <c r="U157" s="189" t="s">
        <v>711</v>
      </c>
      <c r="V157" s="144">
        <f>SUM(Obsterlös!H64)*(1+3%)^10</f>
        <v>700.55673022450378</v>
      </c>
    </row>
    <row r="158" spans="1:22" s="371" customFormat="1" ht="91.5" customHeight="1" x14ac:dyDescent="0.25">
      <c r="A158" s="456">
        <v>10</v>
      </c>
      <c r="B158" s="322"/>
      <c r="C158" s="322"/>
      <c r="D158" s="322"/>
      <c r="E158" s="323"/>
      <c r="F158" s="324"/>
      <c r="G158" s="113" t="s">
        <v>3</v>
      </c>
      <c r="H158" s="184" t="s">
        <v>779</v>
      </c>
      <c r="I158" s="185">
        <v>2035</v>
      </c>
      <c r="J158" s="278">
        <f>SUM(J155:J157)*0.05</f>
        <v>16.866666666666667</v>
      </c>
      <c r="K158" s="281">
        <f t="shared" si="94"/>
        <v>1</v>
      </c>
      <c r="L158" s="281">
        <f t="shared" si="94"/>
        <v>2</v>
      </c>
      <c r="M158" s="187">
        <f t="shared" ref="M158" si="97">J158*K158/60</f>
        <v>0.28111111111111114</v>
      </c>
      <c r="N158" s="187">
        <f t="shared" ref="N158" si="98">J158*L158/60</f>
        <v>0.56222222222222229</v>
      </c>
      <c r="O158" s="188" t="s">
        <v>713</v>
      </c>
      <c r="P158" s="189" t="s">
        <v>712</v>
      </c>
      <c r="Q158" s="188" t="s">
        <v>714</v>
      </c>
      <c r="R158" s="190"/>
      <c r="S158" s="191"/>
      <c r="T158" s="280"/>
      <c r="U158" s="189" t="s">
        <v>469</v>
      </c>
      <c r="V158" s="144"/>
    </row>
    <row r="159" spans="1:22" s="371" customFormat="1" ht="114" customHeight="1" thickBot="1" x14ac:dyDescent="0.3">
      <c r="A159" s="456">
        <v>10</v>
      </c>
      <c r="B159" s="322"/>
      <c r="C159" s="322"/>
      <c r="D159" s="322"/>
      <c r="E159" s="323"/>
      <c r="F159" s="324"/>
      <c r="G159" s="113" t="s">
        <v>752</v>
      </c>
      <c r="H159" s="184" t="s">
        <v>761</v>
      </c>
      <c r="I159" s="185">
        <v>2035</v>
      </c>
      <c r="J159" s="278">
        <f>Haselnusserlös!A38/2</f>
        <v>204.072</v>
      </c>
      <c r="K159" s="186">
        <v>1</v>
      </c>
      <c r="L159" s="186">
        <v>1</v>
      </c>
      <c r="M159" s="187">
        <f t="shared" ref="M159" si="99">J159*K159/60</f>
        <v>3.4012000000000002</v>
      </c>
      <c r="N159" s="187">
        <f t="shared" ref="N159" si="100">J159*L159/60</f>
        <v>3.4012000000000002</v>
      </c>
      <c r="O159" s="188" t="s">
        <v>760</v>
      </c>
      <c r="P159" s="279" t="s">
        <v>754</v>
      </c>
      <c r="Q159" s="315" t="s">
        <v>762</v>
      </c>
      <c r="R159" s="190" t="s">
        <v>763</v>
      </c>
      <c r="S159" s="191"/>
      <c r="T159" s="316" t="s">
        <v>764</v>
      </c>
      <c r="U159" s="316" t="s">
        <v>469</v>
      </c>
      <c r="V159" s="144">
        <f>Haselnusserlös!A31*(1+3%)^10</f>
        <v>1828.3713557700908</v>
      </c>
    </row>
    <row r="160" spans="1:22" s="78" customFormat="1" ht="36" customHeight="1" thickBot="1" x14ac:dyDescent="0.3">
      <c r="A160" s="87">
        <v>10</v>
      </c>
      <c r="B160" s="98">
        <f>(SUM(M151:M159)*D7)*(1+2%)^10</f>
        <v>417.13956545702729</v>
      </c>
      <c r="C160" s="98">
        <f>(SUM(N151:N159)*D8)*(1+2%)^10</f>
        <v>257.68243403300397</v>
      </c>
      <c r="D160" s="88">
        <f>SUM(S151:S159)</f>
        <v>1519.9336674309627</v>
      </c>
      <c r="E160" s="99">
        <f>SUM(B160:D160)</f>
        <v>2194.7556669209939</v>
      </c>
      <c r="F160" s="123">
        <f>SUM(V151:V159)</f>
        <v>3435.4534405173786</v>
      </c>
      <c r="G160" s="174"/>
      <c r="H160" s="73"/>
      <c r="I160" s="175"/>
      <c r="J160" s="74"/>
      <c r="K160" s="75"/>
      <c r="L160" s="75"/>
      <c r="M160" s="75"/>
      <c r="N160" s="75"/>
      <c r="O160" s="76"/>
      <c r="P160" s="176"/>
      <c r="Q160" s="177"/>
      <c r="R160" s="178"/>
      <c r="S160" s="179"/>
      <c r="T160" s="77"/>
      <c r="U160" s="180"/>
      <c r="V160" s="144"/>
    </row>
    <row r="161" spans="1:22" s="371" customFormat="1" ht="135" customHeight="1" x14ac:dyDescent="0.25">
      <c r="A161" s="456">
        <v>11</v>
      </c>
      <c r="B161" s="322"/>
      <c r="C161" s="322"/>
      <c r="D161" s="322"/>
      <c r="E161" s="323"/>
      <c r="F161" s="324"/>
      <c r="G161" s="200" t="s">
        <v>608</v>
      </c>
      <c r="H161" s="202" t="s">
        <v>607</v>
      </c>
      <c r="I161" s="171">
        <v>2036</v>
      </c>
      <c r="J161" s="198">
        <v>60</v>
      </c>
      <c r="K161" s="109">
        <v>1</v>
      </c>
      <c r="L161" s="182"/>
      <c r="M161" s="169">
        <f>J161*K161/60</f>
        <v>1</v>
      </c>
      <c r="N161" s="169">
        <f>J161*L161/60</f>
        <v>0</v>
      </c>
      <c r="O161" s="79" t="s">
        <v>610</v>
      </c>
      <c r="P161" s="110" t="s">
        <v>605</v>
      </c>
      <c r="Q161" s="101" t="s">
        <v>604</v>
      </c>
      <c r="R161" s="102"/>
      <c r="S161" s="103"/>
      <c r="T161" s="104" t="s">
        <v>611</v>
      </c>
      <c r="U161" s="72" t="s">
        <v>464</v>
      </c>
      <c r="V161" s="145"/>
    </row>
    <row r="162" spans="1:22" s="371" customFormat="1" ht="123.75" customHeight="1" x14ac:dyDescent="0.25">
      <c r="A162" s="456">
        <v>11</v>
      </c>
      <c r="B162" s="322"/>
      <c r="C162" s="322"/>
      <c r="D162" s="322"/>
      <c r="E162" s="323"/>
      <c r="F162" s="324"/>
      <c r="G162" s="201" t="s">
        <v>609</v>
      </c>
      <c r="H162" s="202" t="s">
        <v>606</v>
      </c>
      <c r="I162" s="171">
        <v>2036</v>
      </c>
      <c r="J162" s="199">
        <v>60</v>
      </c>
      <c r="K162" s="109">
        <v>1</v>
      </c>
      <c r="L162" s="182"/>
      <c r="M162" s="169">
        <f t="shared" ref="M162:M163" si="101">J162*K162/60</f>
        <v>1</v>
      </c>
      <c r="N162" s="169">
        <f t="shared" ref="N162:N163" si="102">J162*L162/60</f>
        <v>0</v>
      </c>
      <c r="O162" s="79" t="s">
        <v>610</v>
      </c>
      <c r="P162" s="110" t="s">
        <v>605</v>
      </c>
      <c r="Q162" s="172" t="s">
        <v>604</v>
      </c>
      <c r="R162" s="109"/>
      <c r="S162" s="173"/>
      <c r="T162" s="111" t="s">
        <v>611</v>
      </c>
      <c r="U162" s="72" t="s">
        <v>464</v>
      </c>
      <c r="V162" s="144"/>
    </row>
    <row r="163" spans="1:22" s="371" customFormat="1" ht="85.5" customHeight="1" x14ac:dyDescent="0.25">
      <c r="A163" s="456">
        <v>11</v>
      </c>
      <c r="B163" s="322"/>
      <c r="C163" s="322"/>
      <c r="D163" s="322"/>
      <c r="E163" s="323"/>
      <c r="F163" s="324"/>
      <c r="G163" s="201" t="s">
        <v>621</v>
      </c>
      <c r="H163" s="202" t="s">
        <v>622</v>
      </c>
      <c r="I163" s="171">
        <v>2036</v>
      </c>
      <c r="J163" s="105">
        <v>15</v>
      </c>
      <c r="K163" s="106">
        <v>1</v>
      </c>
      <c r="L163" s="182"/>
      <c r="M163" s="169">
        <f t="shared" si="101"/>
        <v>0.25</v>
      </c>
      <c r="N163" s="169">
        <f t="shared" si="102"/>
        <v>0</v>
      </c>
      <c r="O163" s="79" t="s">
        <v>623</v>
      </c>
      <c r="P163" s="170"/>
      <c r="Q163" s="172" t="s">
        <v>624</v>
      </c>
      <c r="R163" s="109" t="s">
        <v>625</v>
      </c>
      <c r="S163" s="173">
        <f>((46*25+36*5)/60*56.25)*(1+2%)^11</f>
        <v>1550.3323407795817</v>
      </c>
      <c r="T163" s="111" t="s">
        <v>647</v>
      </c>
      <c r="U163" s="170" t="s">
        <v>626</v>
      </c>
      <c r="V163" s="144"/>
    </row>
    <row r="164" spans="1:22" s="371" customFormat="1" ht="123.75" customHeight="1" x14ac:dyDescent="0.25">
      <c r="A164" s="456">
        <v>11</v>
      </c>
      <c r="B164" s="322"/>
      <c r="C164" s="322"/>
      <c r="D164" s="322"/>
      <c r="E164" s="323"/>
      <c r="F164" s="324"/>
      <c r="G164" s="113" t="s">
        <v>430</v>
      </c>
      <c r="H164" s="184" t="s">
        <v>470</v>
      </c>
      <c r="I164" s="185">
        <v>2036</v>
      </c>
      <c r="J164" s="112">
        <f>30*8</f>
        <v>240</v>
      </c>
      <c r="K164" s="186">
        <v>1</v>
      </c>
      <c r="L164" s="186"/>
      <c r="M164" s="187">
        <f>J164*K164/60</f>
        <v>4</v>
      </c>
      <c r="N164" s="187">
        <f>J164*L164/60</f>
        <v>0</v>
      </c>
      <c r="O164" s="188" t="s">
        <v>782</v>
      </c>
      <c r="P164" s="189" t="s">
        <v>472</v>
      </c>
      <c r="Q164" s="188"/>
      <c r="R164" s="190"/>
      <c r="S164" s="191"/>
      <c r="T164" s="188" t="s">
        <v>471</v>
      </c>
      <c r="U164" s="192" t="s">
        <v>464</v>
      </c>
      <c r="V164" s="144">
        <f>Futterlauberlös!A23*(1+3%)^11</f>
        <v>18.604103222536548</v>
      </c>
    </row>
    <row r="165" spans="1:22" s="371" customFormat="1" ht="93.75" customHeight="1" x14ac:dyDescent="0.25">
      <c r="A165" s="456">
        <v>11</v>
      </c>
      <c r="B165" s="322"/>
      <c r="C165" s="322"/>
      <c r="D165" s="322"/>
      <c r="E165" s="323"/>
      <c r="F165" s="324"/>
      <c r="G165" s="113" t="s">
        <v>679</v>
      </c>
      <c r="H165" s="184" t="s">
        <v>683</v>
      </c>
      <c r="I165" s="185">
        <v>2036</v>
      </c>
      <c r="J165" s="278">
        <f>Obsterlös!Q53</f>
        <v>340</v>
      </c>
      <c r="K165" s="186">
        <v>1</v>
      </c>
      <c r="L165" s="186">
        <v>2</v>
      </c>
      <c r="M165" s="187">
        <f t="shared" ref="M165:M166" si="103">J165*K165/60</f>
        <v>5.666666666666667</v>
      </c>
      <c r="N165" s="187">
        <f t="shared" ref="N165:N166" si="104">J165*L165/60</f>
        <v>11.333333333333334</v>
      </c>
      <c r="O165" s="188" t="s">
        <v>687</v>
      </c>
      <c r="P165" s="189" t="s">
        <v>692</v>
      </c>
      <c r="Q165" s="188"/>
      <c r="R165" s="190"/>
      <c r="S165" s="191"/>
      <c r="T165" s="188" t="s">
        <v>693</v>
      </c>
      <c r="U165" s="189" t="s">
        <v>711</v>
      </c>
      <c r="V165" s="144">
        <f>SUM(Obsterlös!J59,Obsterlös!K59)*(1+3%)^11</f>
        <v>1291.4902013859075</v>
      </c>
    </row>
    <row r="166" spans="1:22" s="371" customFormat="1" ht="90" customHeight="1" x14ac:dyDescent="0.25">
      <c r="A166" s="456">
        <v>11</v>
      </c>
      <c r="B166" s="322"/>
      <c r="C166" s="322"/>
      <c r="D166" s="322"/>
      <c r="E166" s="323"/>
      <c r="F166" s="324"/>
      <c r="G166" s="113" t="s">
        <v>680</v>
      </c>
      <c r="H166" s="184" t="s">
        <v>683</v>
      </c>
      <c r="I166" s="185">
        <v>2036</v>
      </c>
      <c r="J166" s="278">
        <f>Obsterlös!Q54</f>
        <v>306</v>
      </c>
      <c r="K166" s="186">
        <v>1</v>
      </c>
      <c r="L166" s="186">
        <v>2</v>
      </c>
      <c r="M166" s="187">
        <f t="shared" si="103"/>
        <v>5.0999999999999996</v>
      </c>
      <c r="N166" s="187">
        <f t="shared" si="104"/>
        <v>10.199999999999999</v>
      </c>
      <c r="O166" s="188" t="s">
        <v>687</v>
      </c>
      <c r="P166" s="189" t="s">
        <v>692</v>
      </c>
      <c r="Q166" s="188"/>
      <c r="R166" s="190"/>
      <c r="S166" s="191"/>
      <c r="T166" s="188" t="s">
        <v>693</v>
      </c>
      <c r="U166" s="189" t="s">
        <v>711</v>
      </c>
      <c r="V166" s="144">
        <f>SUM(Obsterlös!J60,Obsterlös!K60)*(1+3%)^11</f>
        <v>1453.8608344218853</v>
      </c>
    </row>
    <row r="167" spans="1:22" s="371" customFormat="1" ht="58.5" customHeight="1" x14ac:dyDescent="0.25">
      <c r="A167" s="456">
        <v>11</v>
      </c>
      <c r="B167" s="322"/>
      <c r="C167" s="322"/>
      <c r="D167" s="322"/>
      <c r="E167" s="323"/>
      <c r="F167" s="324"/>
      <c r="G167" s="113" t="s">
        <v>681</v>
      </c>
      <c r="H167" s="184" t="s">
        <v>683</v>
      </c>
      <c r="I167" s="185">
        <v>2036</v>
      </c>
      <c r="J167" s="278">
        <f>Obsterlös!Q55</f>
        <v>104</v>
      </c>
      <c r="K167" s="186">
        <v>1</v>
      </c>
      <c r="L167" s="186">
        <v>2</v>
      </c>
      <c r="M167" s="187">
        <f>J167*K167/60</f>
        <v>1.7333333333333334</v>
      </c>
      <c r="N167" s="187">
        <f>J167*L167/60</f>
        <v>3.4666666666666668</v>
      </c>
      <c r="O167" s="188" t="s">
        <v>687</v>
      </c>
      <c r="P167" s="189" t="s">
        <v>692</v>
      </c>
      <c r="Q167" s="188"/>
      <c r="R167" s="190"/>
      <c r="S167" s="191"/>
      <c r="T167" s="188" t="s">
        <v>690</v>
      </c>
      <c r="U167" s="189" t="s">
        <v>711</v>
      </c>
      <c r="V167" s="144">
        <f>Obsterlös!J64*(1+3%)^11</f>
        <v>1443.1468642624777</v>
      </c>
    </row>
    <row r="168" spans="1:22" s="371" customFormat="1" ht="58.5" customHeight="1" x14ac:dyDescent="0.25">
      <c r="A168" s="456">
        <v>11</v>
      </c>
      <c r="B168" s="322"/>
      <c r="C168" s="322"/>
      <c r="D168" s="322"/>
      <c r="E168" s="323"/>
      <c r="F168" s="324"/>
      <c r="G168" s="113" t="s">
        <v>3</v>
      </c>
      <c r="H168" s="184" t="s">
        <v>779</v>
      </c>
      <c r="I168" s="185">
        <v>2036</v>
      </c>
      <c r="J168" s="278">
        <f>SUM(J165:J167)*0.05</f>
        <v>37.5</v>
      </c>
      <c r="K168" s="186">
        <v>1</v>
      </c>
      <c r="L168" s="186">
        <v>2</v>
      </c>
      <c r="M168" s="187">
        <f>J168*K168/60</f>
        <v>0.625</v>
      </c>
      <c r="N168" s="187">
        <f>J168*L168/60</f>
        <v>1.25</v>
      </c>
      <c r="O168" s="188" t="s">
        <v>713</v>
      </c>
      <c r="P168" s="189" t="s">
        <v>717</v>
      </c>
      <c r="Q168" s="188" t="s">
        <v>423</v>
      </c>
      <c r="R168" s="190" t="s">
        <v>716</v>
      </c>
      <c r="S168" s="191">
        <f>M168*17</f>
        <v>10.625</v>
      </c>
      <c r="T168" s="188"/>
      <c r="U168" s="189" t="s">
        <v>469</v>
      </c>
      <c r="V168" s="144"/>
    </row>
    <row r="169" spans="1:22" s="371" customFormat="1" ht="86.25" customHeight="1" x14ac:dyDescent="0.25">
      <c r="A169" s="456">
        <v>11</v>
      </c>
      <c r="B169" s="322"/>
      <c r="C169" s="322"/>
      <c r="D169" s="322"/>
      <c r="E169" s="323"/>
      <c r="F169" s="324"/>
      <c r="G169" s="113"/>
      <c r="H169" s="184"/>
      <c r="I169" s="185">
        <v>2036</v>
      </c>
      <c r="J169" s="278"/>
      <c r="K169" s="186"/>
      <c r="L169" s="186"/>
      <c r="M169" s="187">
        <f t="shared" ref="M169:M170" si="105">J169*K169/60</f>
        <v>0</v>
      </c>
      <c r="N169" s="187">
        <f t="shared" ref="N169:N170" si="106">J169*L169/60</f>
        <v>0</v>
      </c>
      <c r="O169" s="188"/>
      <c r="P169" s="189"/>
      <c r="Q169" s="188" t="s">
        <v>714</v>
      </c>
      <c r="R169" s="312">
        <f>(SUM(Obsterlös!I48:I50)*0.2)/5</f>
        <v>97.6</v>
      </c>
      <c r="S169" s="191">
        <f>R169*12*(1+3%)^11</f>
        <v>1621.2147093924702</v>
      </c>
      <c r="T169" s="188" t="s">
        <v>780</v>
      </c>
      <c r="U169" s="189" t="s">
        <v>469</v>
      </c>
      <c r="V169" s="144"/>
    </row>
    <row r="170" spans="1:22" s="371" customFormat="1" ht="146.25" customHeight="1" x14ac:dyDescent="0.25">
      <c r="A170" s="456">
        <v>11</v>
      </c>
      <c r="B170" s="322"/>
      <c r="C170" s="322"/>
      <c r="D170" s="322"/>
      <c r="E170" s="323"/>
      <c r="F170" s="324"/>
      <c r="G170" s="113" t="s">
        <v>727</v>
      </c>
      <c r="H170" s="184" t="s">
        <v>728</v>
      </c>
      <c r="I170" s="185">
        <v>2036</v>
      </c>
      <c r="J170" s="278">
        <f>SUM(Obsterlös!I48:I49)*0.2*0.5/5*1.5*4</f>
        <v>273.60000000000002</v>
      </c>
      <c r="K170" s="186">
        <v>0</v>
      </c>
      <c r="L170" s="186">
        <v>1</v>
      </c>
      <c r="M170" s="187">
        <f t="shared" si="105"/>
        <v>0</v>
      </c>
      <c r="N170" s="187">
        <f t="shared" si="106"/>
        <v>4.5600000000000005</v>
      </c>
      <c r="O170" s="188" t="s">
        <v>729</v>
      </c>
      <c r="P170" s="189"/>
      <c r="Q170" s="188"/>
      <c r="R170" s="312"/>
      <c r="S170" s="191"/>
      <c r="T170" s="188" t="s">
        <v>770</v>
      </c>
      <c r="U170" s="189" t="s">
        <v>469</v>
      </c>
      <c r="V170" s="144"/>
    </row>
    <row r="171" spans="1:22" s="371" customFormat="1" ht="111" customHeight="1" thickBot="1" x14ac:dyDescent="0.3">
      <c r="A171" s="456">
        <v>11</v>
      </c>
      <c r="B171" s="322"/>
      <c r="C171" s="322"/>
      <c r="D171" s="322"/>
      <c r="E171" s="323"/>
      <c r="F171" s="324"/>
      <c r="G171" s="113" t="s">
        <v>752</v>
      </c>
      <c r="H171" s="184" t="s">
        <v>761</v>
      </c>
      <c r="I171" s="185">
        <v>2036</v>
      </c>
      <c r="J171" s="278">
        <f>Haselnusserlös!A38/2</f>
        <v>204.072</v>
      </c>
      <c r="K171" s="186">
        <v>1</v>
      </c>
      <c r="L171" s="186">
        <v>1</v>
      </c>
      <c r="M171" s="187">
        <f t="shared" ref="M171" si="107">J171*K171/60</f>
        <v>3.4012000000000002</v>
      </c>
      <c r="N171" s="187">
        <f t="shared" ref="N171" si="108">J171*L171/60</f>
        <v>3.4012000000000002</v>
      </c>
      <c r="O171" s="188" t="s">
        <v>760</v>
      </c>
      <c r="P171" s="279" t="s">
        <v>754</v>
      </c>
      <c r="Q171" s="315" t="s">
        <v>762</v>
      </c>
      <c r="R171" s="190" t="s">
        <v>763</v>
      </c>
      <c r="S171" s="191"/>
      <c r="T171" s="316" t="s">
        <v>764</v>
      </c>
      <c r="U171" s="316" t="s">
        <v>469</v>
      </c>
      <c r="V171" s="144">
        <f>Haselnusserlös!A31*(1+3%)^11</f>
        <v>1883.2224964431937</v>
      </c>
    </row>
    <row r="172" spans="1:22" s="78" customFormat="1" ht="36" customHeight="1" thickBot="1" x14ac:dyDescent="0.3">
      <c r="A172" s="87">
        <v>11</v>
      </c>
      <c r="B172" s="98">
        <f>(SUM(M161:M171)*D7)*(1+2%)^11</f>
        <v>623.025522302882</v>
      </c>
      <c r="C172" s="98">
        <f>(SUM(N161:N171)*D8)*(1+2%)^11</f>
        <v>591.2688472369806</v>
      </c>
      <c r="D172" s="88">
        <f>SUM(S161:S171)</f>
        <v>3182.172050172052</v>
      </c>
      <c r="E172" s="99">
        <f>SUM(B172:D172)</f>
        <v>4396.4664197119146</v>
      </c>
      <c r="F172" s="123">
        <f>SUM(V161:V171)</f>
        <v>6090.3244997360007</v>
      </c>
      <c r="G172" s="174"/>
      <c r="H172" s="73"/>
      <c r="I172" s="175"/>
      <c r="J172" s="74"/>
      <c r="K172" s="75"/>
      <c r="L172" s="75"/>
      <c r="M172" s="75"/>
      <c r="N172" s="75"/>
      <c r="O172" s="76"/>
      <c r="P172" s="176"/>
      <c r="Q172" s="177"/>
      <c r="R172" s="178"/>
      <c r="S172" s="179"/>
      <c r="T172" s="77"/>
      <c r="U172" s="180"/>
      <c r="V172" s="144"/>
    </row>
    <row r="173" spans="1:22" s="371" customFormat="1" ht="121.5" customHeight="1" x14ac:dyDescent="0.25">
      <c r="A173" s="456">
        <v>12</v>
      </c>
      <c r="B173" s="453"/>
      <c r="C173" s="322"/>
      <c r="D173" s="322"/>
      <c r="E173" s="323"/>
      <c r="F173" s="324"/>
      <c r="G173" s="200" t="s">
        <v>608</v>
      </c>
      <c r="H173" s="202" t="s">
        <v>607</v>
      </c>
      <c r="I173" s="171">
        <v>2037</v>
      </c>
      <c r="J173" s="198">
        <v>60</v>
      </c>
      <c r="K173" s="109">
        <v>1</v>
      </c>
      <c r="L173" s="182"/>
      <c r="M173" s="169">
        <f>J173*K173/60</f>
        <v>1</v>
      </c>
      <c r="N173" s="169">
        <f>J173*L173/60</f>
        <v>0</v>
      </c>
      <c r="O173" s="79" t="s">
        <v>610</v>
      </c>
      <c r="P173" s="110" t="s">
        <v>605</v>
      </c>
      <c r="Q173" s="101" t="s">
        <v>604</v>
      </c>
      <c r="R173" s="102"/>
      <c r="S173" s="103"/>
      <c r="T173" s="104" t="s">
        <v>611</v>
      </c>
      <c r="U173" s="72" t="s">
        <v>464</v>
      </c>
      <c r="V173" s="145"/>
    </row>
    <row r="174" spans="1:22" s="371" customFormat="1" ht="115.5" customHeight="1" x14ac:dyDescent="0.25">
      <c r="A174" s="456">
        <v>12</v>
      </c>
      <c r="B174" s="322"/>
      <c r="C174" s="322"/>
      <c r="D174" s="322"/>
      <c r="E174" s="323"/>
      <c r="F174" s="324"/>
      <c r="G174" s="201" t="s">
        <v>609</v>
      </c>
      <c r="H174" s="202" t="s">
        <v>606</v>
      </c>
      <c r="I174" s="171">
        <v>2037</v>
      </c>
      <c r="J174" s="199">
        <v>60</v>
      </c>
      <c r="K174" s="109">
        <v>1</v>
      </c>
      <c r="L174" s="182"/>
      <c r="M174" s="169">
        <f t="shared" ref="M174:M175" si="109">J174*K174/60</f>
        <v>1</v>
      </c>
      <c r="N174" s="169">
        <f t="shared" ref="N174:N175" si="110">J174*L174/60</f>
        <v>0</v>
      </c>
      <c r="O174" s="79" t="s">
        <v>610</v>
      </c>
      <c r="P174" s="110" t="s">
        <v>605</v>
      </c>
      <c r="Q174" s="172" t="s">
        <v>604</v>
      </c>
      <c r="R174" s="109"/>
      <c r="S174" s="173"/>
      <c r="T174" s="111" t="s">
        <v>611</v>
      </c>
      <c r="U174" s="72" t="s">
        <v>464</v>
      </c>
      <c r="V174" s="144"/>
    </row>
    <row r="175" spans="1:22" s="371" customFormat="1" ht="125.25" customHeight="1" x14ac:dyDescent="0.25">
      <c r="A175" s="456">
        <v>12</v>
      </c>
      <c r="B175" s="322"/>
      <c r="C175" s="322"/>
      <c r="D175" s="322"/>
      <c r="E175" s="323"/>
      <c r="F175" s="324"/>
      <c r="G175" s="201" t="s">
        <v>621</v>
      </c>
      <c r="H175" s="202" t="s">
        <v>622</v>
      </c>
      <c r="I175" s="171">
        <v>2037</v>
      </c>
      <c r="J175" s="105">
        <v>15</v>
      </c>
      <c r="K175" s="106">
        <v>1</v>
      </c>
      <c r="L175" s="182"/>
      <c r="M175" s="169">
        <f t="shared" si="109"/>
        <v>0.25</v>
      </c>
      <c r="N175" s="169">
        <f t="shared" si="110"/>
        <v>0</v>
      </c>
      <c r="O175" s="79" t="s">
        <v>623</v>
      </c>
      <c r="P175" s="170"/>
      <c r="Q175" s="172" t="s">
        <v>624</v>
      </c>
      <c r="R175" s="109" t="s">
        <v>625</v>
      </c>
      <c r="S175" s="173">
        <f>((46*25+36*5)/60*56.25)*(1+2%)^12</f>
        <v>1581.3389875951736</v>
      </c>
      <c r="T175" s="111" t="s">
        <v>647</v>
      </c>
      <c r="U175" s="170" t="s">
        <v>626</v>
      </c>
      <c r="V175" s="144"/>
    </row>
    <row r="176" spans="1:22" s="371" customFormat="1" ht="84" customHeight="1" x14ac:dyDescent="0.25">
      <c r="A176" s="456">
        <v>12</v>
      </c>
      <c r="B176" s="322"/>
      <c r="C176" s="322"/>
      <c r="D176" s="322"/>
      <c r="E176" s="323"/>
      <c r="F176" s="324"/>
      <c r="G176" s="113" t="s">
        <v>430</v>
      </c>
      <c r="H176" s="184" t="s">
        <v>470</v>
      </c>
      <c r="I176" s="185">
        <v>2037</v>
      </c>
      <c r="J176" s="112">
        <f>30*8</f>
        <v>240</v>
      </c>
      <c r="K176" s="186">
        <v>1</v>
      </c>
      <c r="L176" s="186"/>
      <c r="M176" s="187">
        <f>J176*K176/60</f>
        <v>4</v>
      </c>
      <c r="N176" s="187">
        <f>J176*L176/60</f>
        <v>0</v>
      </c>
      <c r="O176" s="188" t="s">
        <v>782</v>
      </c>
      <c r="P176" s="189" t="s">
        <v>472</v>
      </c>
      <c r="Q176" s="188"/>
      <c r="R176" s="190"/>
      <c r="S176" s="191"/>
      <c r="T176" s="188" t="s">
        <v>471</v>
      </c>
      <c r="U176" s="192" t="s">
        <v>464</v>
      </c>
      <c r="V176" s="144">
        <f>Futterlauberlös!A23*(1+3%)^12</f>
        <v>19.162226319212639</v>
      </c>
    </row>
    <row r="177" spans="1:22" s="371" customFormat="1" ht="84" customHeight="1" x14ac:dyDescent="0.25">
      <c r="A177" s="456">
        <v>12</v>
      </c>
      <c r="B177" s="322"/>
      <c r="C177" s="322"/>
      <c r="D177" s="322"/>
      <c r="E177" s="323"/>
      <c r="F177" s="324"/>
      <c r="G177" s="113" t="s">
        <v>679</v>
      </c>
      <c r="H177" s="184" t="s">
        <v>683</v>
      </c>
      <c r="I177" s="185">
        <v>2037</v>
      </c>
      <c r="J177" s="278">
        <f>Obsterlös!Q53</f>
        <v>340</v>
      </c>
      <c r="K177" s="186">
        <v>1</v>
      </c>
      <c r="L177" s="186">
        <v>2</v>
      </c>
      <c r="M177" s="187">
        <f t="shared" ref="M177:M179" si="111">J177*K177/60</f>
        <v>5.666666666666667</v>
      </c>
      <c r="N177" s="187">
        <f t="shared" ref="N177:N179" si="112">J177*L177/60</f>
        <v>11.333333333333334</v>
      </c>
      <c r="O177" s="188" t="s">
        <v>687</v>
      </c>
      <c r="P177" s="189" t="s">
        <v>692</v>
      </c>
      <c r="Q177" s="188"/>
      <c r="R177" s="190"/>
      <c r="S177" s="191"/>
      <c r="T177" s="188" t="s">
        <v>693</v>
      </c>
      <c r="U177" s="189" t="s">
        <v>711</v>
      </c>
      <c r="V177" s="144">
        <f>SUM(Obsterlös!J59,Obsterlös!K59)*(1+3%)^12</f>
        <v>1330.2349074274846</v>
      </c>
    </row>
    <row r="178" spans="1:22" s="371" customFormat="1" ht="84" customHeight="1" x14ac:dyDescent="0.25">
      <c r="A178" s="456">
        <v>12</v>
      </c>
      <c r="B178" s="322"/>
      <c r="C178" s="322"/>
      <c r="D178" s="322"/>
      <c r="E178" s="323"/>
      <c r="F178" s="324"/>
      <c r="G178" s="113" t="s">
        <v>680</v>
      </c>
      <c r="H178" s="184" t="s">
        <v>683</v>
      </c>
      <c r="I178" s="185">
        <v>2037</v>
      </c>
      <c r="J178" s="278">
        <f>Obsterlös!Q54</f>
        <v>306</v>
      </c>
      <c r="K178" s="186">
        <v>1</v>
      </c>
      <c r="L178" s="186">
        <v>2</v>
      </c>
      <c r="M178" s="187">
        <f t="shared" si="111"/>
        <v>5.0999999999999996</v>
      </c>
      <c r="N178" s="187">
        <f t="shared" si="112"/>
        <v>10.199999999999999</v>
      </c>
      <c r="O178" s="188" t="s">
        <v>687</v>
      </c>
      <c r="P178" s="189" t="s">
        <v>692</v>
      </c>
      <c r="Q178" s="188"/>
      <c r="R178" s="190"/>
      <c r="S178" s="191"/>
      <c r="T178" s="188" t="s">
        <v>693</v>
      </c>
      <c r="U178" s="189" t="s">
        <v>711</v>
      </c>
      <c r="V178" s="144">
        <f>SUM(Obsterlös!J60,Obsterlös!K60)*(1+3%)^12</f>
        <v>1497.4766594545417</v>
      </c>
    </row>
    <row r="179" spans="1:22" s="371" customFormat="1" ht="84" customHeight="1" x14ac:dyDescent="0.25">
      <c r="A179" s="456">
        <v>12</v>
      </c>
      <c r="B179" s="322"/>
      <c r="C179" s="322"/>
      <c r="D179" s="322"/>
      <c r="E179" s="323"/>
      <c r="F179" s="324"/>
      <c r="G179" s="113" t="s">
        <v>681</v>
      </c>
      <c r="H179" s="184" t="s">
        <v>683</v>
      </c>
      <c r="I179" s="185">
        <v>2037</v>
      </c>
      <c r="J179" s="278">
        <f>Obsterlös!Q55</f>
        <v>104</v>
      </c>
      <c r="K179" s="186">
        <v>1</v>
      </c>
      <c r="L179" s="186">
        <v>2</v>
      </c>
      <c r="M179" s="187">
        <f t="shared" si="111"/>
        <v>1.7333333333333334</v>
      </c>
      <c r="N179" s="187">
        <f t="shared" si="112"/>
        <v>3.4666666666666668</v>
      </c>
      <c r="O179" s="188" t="s">
        <v>687</v>
      </c>
      <c r="P179" s="189" t="s">
        <v>692</v>
      </c>
      <c r="Q179" s="188"/>
      <c r="R179" s="190"/>
      <c r="S179" s="191"/>
      <c r="T179" s="188" t="s">
        <v>690</v>
      </c>
      <c r="U179" s="189" t="s">
        <v>711</v>
      </c>
      <c r="V179" s="144">
        <f>Obsterlös!J64*(1+3%)^12</f>
        <v>1486.4412701903518</v>
      </c>
    </row>
    <row r="180" spans="1:22" s="371" customFormat="1" ht="84" customHeight="1" x14ac:dyDescent="0.25">
      <c r="A180" s="456">
        <v>12</v>
      </c>
      <c r="B180" s="322"/>
      <c r="C180" s="322"/>
      <c r="D180" s="322"/>
      <c r="E180" s="323"/>
      <c r="F180" s="324"/>
      <c r="G180" s="113" t="s">
        <v>3</v>
      </c>
      <c r="H180" s="184" t="s">
        <v>779</v>
      </c>
      <c r="I180" s="185">
        <v>2037</v>
      </c>
      <c r="J180" s="278">
        <f>SUM(J177:J179)*0.05</f>
        <v>37.5</v>
      </c>
      <c r="K180" s="186">
        <v>1</v>
      </c>
      <c r="L180" s="186">
        <v>2</v>
      </c>
      <c r="M180" s="187">
        <f t="shared" ref="M180:M181" si="113">J180*K180/60</f>
        <v>0.625</v>
      </c>
      <c r="N180" s="187">
        <f t="shared" ref="N180:N181" si="114">J180*L180/60</f>
        <v>1.25</v>
      </c>
      <c r="O180" s="188" t="s">
        <v>687</v>
      </c>
      <c r="P180" s="189" t="s">
        <v>717</v>
      </c>
      <c r="Q180" s="188" t="s">
        <v>423</v>
      </c>
      <c r="R180" s="190" t="s">
        <v>716</v>
      </c>
      <c r="S180" s="191">
        <f>M180*17</f>
        <v>10.625</v>
      </c>
      <c r="T180" s="188"/>
      <c r="U180" s="189" t="s">
        <v>469</v>
      </c>
      <c r="V180" s="144"/>
    </row>
    <row r="181" spans="1:22" s="371" customFormat="1" ht="147" customHeight="1" x14ac:dyDescent="0.25">
      <c r="A181" s="456">
        <v>12</v>
      </c>
      <c r="B181" s="322"/>
      <c r="C181" s="322"/>
      <c r="D181" s="322"/>
      <c r="E181" s="323"/>
      <c r="F181" s="324"/>
      <c r="G181" s="113" t="s">
        <v>727</v>
      </c>
      <c r="H181" s="184" t="s">
        <v>728</v>
      </c>
      <c r="I181" s="185">
        <v>2037</v>
      </c>
      <c r="J181" s="278">
        <f>SUM(Obsterlös!I48:I49)*0.2*0.5/5*1.5*4</f>
        <v>273.60000000000002</v>
      </c>
      <c r="K181" s="186">
        <v>0</v>
      </c>
      <c r="L181" s="186">
        <v>1</v>
      </c>
      <c r="M181" s="187">
        <f t="shared" si="113"/>
        <v>0</v>
      </c>
      <c r="N181" s="187">
        <f t="shared" si="114"/>
        <v>4.5600000000000005</v>
      </c>
      <c r="O181" s="188" t="s">
        <v>729</v>
      </c>
      <c r="P181" s="189"/>
      <c r="Q181" s="188"/>
      <c r="R181" s="312"/>
      <c r="S181" s="191"/>
      <c r="T181" s="188" t="s">
        <v>770</v>
      </c>
      <c r="U181" s="189" t="s">
        <v>469</v>
      </c>
      <c r="V181" s="144"/>
    </row>
    <row r="182" spans="1:22" s="371" customFormat="1" ht="129.75" customHeight="1" thickBot="1" x14ac:dyDescent="0.3">
      <c r="A182" s="456">
        <v>12</v>
      </c>
      <c r="B182" s="322"/>
      <c r="C182" s="322"/>
      <c r="D182" s="322"/>
      <c r="E182" s="323"/>
      <c r="F182" s="324"/>
      <c r="G182" s="113" t="s">
        <v>752</v>
      </c>
      <c r="H182" s="184" t="s">
        <v>761</v>
      </c>
      <c r="I182" s="185">
        <v>2037</v>
      </c>
      <c r="J182" s="278">
        <f>Haselnusserlös!A38/2</f>
        <v>204.072</v>
      </c>
      <c r="K182" s="186">
        <v>1</v>
      </c>
      <c r="L182" s="186">
        <v>1</v>
      </c>
      <c r="M182" s="187">
        <f t="shared" ref="M182" si="115">J182*K182/60</f>
        <v>3.4012000000000002</v>
      </c>
      <c r="N182" s="187">
        <f t="shared" ref="N182" si="116">J182*L182/60</f>
        <v>3.4012000000000002</v>
      </c>
      <c r="O182" s="188" t="s">
        <v>760</v>
      </c>
      <c r="P182" s="279" t="s">
        <v>754</v>
      </c>
      <c r="Q182" s="315" t="s">
        <v>762</v>
      </c>
      <c r="R182" s="190" t="s">
        <v>763</v>
      </c>
      <c r="S182" s="191"/>
      <c r="T182" s="316" t="s">
        <v>764</v>
      </c>
      <c r="U182" s="316" t="s">
        <v>469</v>
      </c>
      <c r="V182" s="144">
        <f>Haselnusserlös!A31*(1+3%)^12</f>
        <v>1939.7191713364891</v>
      </c>
    </row>
    <row r="183" spans="1:22" s="78" customFormat="1" ht="36" customHeight="1" thickBot="1" x14ac:dyDescent="0.3">
      <c r="A183" s="87">
        <v>12</v>
      </c>
      <c r="B183" s="98">
        <f>(SUM(M173:M182)*D7)*(1+2%)^12</f>
        <v>635.48603274893969</v>
      </c>
      <c r="C183" s="98">
        <f>(SUM(N173:N182)*D8)*(1+2%)^12</f>
        <v>603.09422418172039</v>
      </c>
      <c r="D183" s="88">
        <f>SUM(S173:S182)</f>
        <v>1591.9639875951736</v>
      </c>
      <c r="E183" s="99">
        <f>SUM(B183:D183)</f>
        <v>2830.5442445258341</v>
      </c>
      <c r="F183" s="123">
        <f>SUM(V173:V182)</f>
        <v>6273.0342347280803</v>
      </c>
      <c r="G183" s="174"/>
      <c r="H183" s="73"/>
      <c r="I183" s="175"/>
      <c r="J183" s="74"/>
      <c r="K183" s="75"/>
      <c r="L183" s="75"/>
      <c r="M183" s="75"/>
      <c r="N183" s="75"/>
      <c r="O183" s="76"/>
      <c r="P183" s="176"/>
      <c r="Q183" s="177"/>
      <c r="R183" s="178"/>
      <c r="S183" s="179"/>
      <c r="T183" s="77"/>
      <c r="U183" s="180"/>
      <c r="V183" s="144"/>
    </row>
    <row r="184" spans="1:22" s="371" customFormat="1" ht="121.5" customHeight="1" x14ac:dyDescent="0.25">
      <c r="A184" s="456">
        <v>13</v>
      </c>
      <c r="B184" s="322"/>
      <c r="C184" s="322"/>
      <c r="D184" s="322"/>
      <c r="E184" s="323"/>
      <c r="F184" s="324"/>
      <c r="G184" s="200" t="s">
        <v>608</v>
      </c>
      <c r="H184" s="202" t="s">
        <v>607</v>
      </c>
      <c r="I184" s="171">
        <v>2038</v>
      </c>
      <c r="J184" s="198">
        <v>60</v>
      </c>
      <c r="K184" s="109">
        <v>1</v>
      </c>
      <c r="L184" s="182"/>
      <c r="M184" s="169">
        <f>J184*K184/60</f>
        <v>1</v>
      </c>
      <c r="N184" s="169">
        <f>J184*L184/60</f>
        <v>0</v>
      </c>
      <c r="O184" s="79" t="s">
        <v>610</v>
      </c>
      <c r="P184" s="110" t="s">
        <v>605</v>
      </c>
      <c r="Q184" s="101" t="s">
        <v>604</v>
      </c>
      <c r="R184" s="102"/>
      <c r="S184" s="103"/>
      <c r="T184" s="104" t="s">
        <v>611</v>
      </c>
      <c r="U184" s="72" t="s">
        <v>464</v>
      </c>
      <c r="V184" s="145"/>
    </row>
    <row r="185" spans="1:22" s="371" customFormat="1" ht="127.5" customHeight="1" x14ac:dyDescent="0.25">
      <c r="A185" s="456">
        <v>13</v>
      </c>
      <c r="B185" s="322"/>
      <c r="C185" s="322"/>
      <c r="D185" s="322"/>
      <c r="E185" s="323"/>
      <c r="F185" s="324"/>
      <c r="G185" s="201" t="s">
        <v>609</v>
      </c>
      <c r="H185" s="202" t="s">
        <v>606</v>
      </c>
      <c r="I185" s="171">
        <v>2038</v>
      </c>
      <c r="J185" s="199">
        <v>60</v>
      </c>
      <c r="K185" s="109">
        <v>1</v>
      </c>
      <c r="L185" s="182"/>
      <c r="M185" s="169">
        <f t="shared" ref="M185:M186" si="117">J185*K185/60</f>
        <v>1</v>
      </c>
      <c r="N185" s="169">
        <f t="shared" ref="N185:N186" si="118">J185*L185/60</f>
        <v>0</v>
      </c>
      <c r="O185" s="79" t="s">
        <v>610</v>
      </c>
      <c r="P185" s="110" t="s">
        <v>605</v>
      </c>
      <c r="Q185" s="172" t="s">
        <v>604</v>
      </c>
      <c r="R185" s="109"/>
      <c r="S185" s="173"/>
      <c r="T185" s="111" t="s">
        <v>611</v>
      </c>
      <c r="U185" s="72" t="s">
        <v>464</v>
      </c>
      <c r="V185" s="144"/>
    </row>
    <row r="186" spans="1:22" s="371" customFormat="1" ht="106.5" customHeight="1" x14ac:dyDescent="0.25">
      <c r="A186" s="456">
        <v>13</v>
      </c>
      <c r="B186" s="322"/>
      <c r="C186" s="322"/>
      <c r="D186" s="322"/>
      <c r="E186" s="323"/>
      <c r="F186" s="324"/>
      <c r="G186" s="201" t="s">
        <v>621</v>
      </c>
      <c r="H186" s="202" t="s">
        <v>622</v>
      </c>
      <c r="I186" s="171">
        <v>2038</v>
      </c>
      <c r="J186" s="105">
        <v>15</v>
      </c>
      <c r="K186" s="106">
        <v>1</v>
      </c>
      <c r="L186" s="182"/>
      <c r="M186" s="169">
        <f t="shared" si="117"/>
        <v>0.25</v>
      </c>
      <c r="N186" s="169">
        <f t="shared" si="118"/>
        <v>0</v>
      </c>
      <c r="O186" s="79" t="s">
        <v>623</v>
      </c>
      <c r="P186" s="170"/>
      <c r="Q186" s="172" t="s">
        <v>624</v>
      </c>
      <c r="R186" s="109" t="s">
        <v>625</v>
      </c>
      <c r="S186" s="173">
        <f>((46*25+36*5)/60*56.25)*(1+2%)^13</f>
        <v>1612.965767347077</v>
      </c>
      <c r="T186" s="111" t="s">
        <v>647</v>
      </c>
      <c r="U186" s="170" t="s">
        <v>626</v>
      </c>
      <c r="V186" s="144"/>
    </row>
    <row r="187" spans="1:22" s="371" customFormat="1" ht="80.25" customHeight="1" x14ac:dyDescent="0.25">
      <c r="A187" s="456">
        <v>13</v>
      </c>
      <c r="B187" s="322"/>
      <c r="C187" s="322"/>
      <c r="D187" s="322"/>
      <c r="E187" s="323"/>
      <c r="F187" s="324"/>
      <c r="G187" s="113" t="s">
        <v>430</v>
      </c>
      <c r="H187" s="184" t="s">
        <v>470</v>
      </c>
      <c r="I187" s="185">
        <v>2038</v>
      </c>
      <c r="J187" s="112">
        <f>30*8</f>
        <v>240</v>
      </c>
      <c r="K187" s="186">
        <v>1</v>
      </c>
      <c r="L187" s="186"/>
      <c r="M187" s="187">
        <f>J187*K187/60</f>
        <v>4</v>
      </c>
      <c r="N187" s="187">
        <f>J187*L187/60</f>
        <v>0</v>
      </c>
      <c r="O187" s="188" t="s">
        <v>782</v>
      </c>
      <c r="P187" s="189" t="s">
        <v>472</v>
      </c>
      <c r="Q187" s="188"/>
      <c r="R187" s="190"/>
      <c r="S187" s="191"/>
      <c r="T187" s="188" t="s">
        <v>471</v>
      </c>
      <c r="U187" s="192" t="s">
        <v>464</v>
      </c>
      <c r="V187" s="144">
        <f>Futterlauberlös!A23*(1+3%)^13</f>
        <v>19.737093108789018</v>
      </c>
    </row>
    <row r="188" spans="1:22" s="371" customFormat="1" ht="80.25" customHeight="1" x14ac:dyDescent="0.25">
      <c r="A188" s="456">
        <v>13</v>
      </c>
      <c r="B188" s="322"/>
      <c r="C188" s="322"/>
      <c r="D188" s="322"/>
      <c r="E188" s="323"/>
      <c r="F188" s="324"/>
      <c r="G188" s="113" t="s">
        <v>679</v>
      </c>
      <c r="H188" s="184" t="s">
        <v>683</v>
      </c>
      <c r="I188" s="185">
        <v>2038</v>
      </c>
      <c r="J188" s="278">
        <f>Obsterlös!Q53</f>
        <v>340</v>
      </c>
      <c r="K188" s="186">
        <v>1</v>
      </c>
      <c r="L188" s="186">
        <v>2</v>
      </c>
      <c r="M188" s="187">
        <f t="shared" ref="M188:M190" si="119">J188*K188/60</f>
        <v>5.666666666666667</v>
      </c>
      <c r="N188" s="187">
        <f t="shared" ref="N188:N190" si="120">J188*L188/60</f>
        <v>11.333333333333334</v>
      </c>
      <c r="O188" s="188" t="s">
        <v>687</v>
      </c>
      <c r="P188" s="189" t="s">
        <v>692</v>
      </c>
      <c r="Q188" s="188"/>
      <c r="R188" s="190"/>
      <c r="S188" s="191"/>
      <c r="T188" s="188" t="s">
        <v>693</v>
      </c>
      <c r="U188" s="189" t="s">
        <v>711</v>
      </c>
      <c r="V188" s="144">
        <f>SUM(Obsterlös!J59,Obsterlös!K59)*(1+3%)^13</f>
        <v>1370.1419546503091</v>
      </c>
    </row>
    <row r="189" spans="1:22" s="371" customFormat="1" ht="80.25" customHeight="1" x14ac:dyDescent="0.25">
      <c r="A189" s="456">
        <v>13</v>
      </c>
      <c r="B189" s="322"/>
      <c r="C189" s="322"/>
      <c r="D189" s="322"/>
      <c r="E189" s="323"/>
      <c r="F189" s="324"/>
      <c r="G189" s="113" t="s">
        <v>680</v>
      </c>
      <c r="H189" s="184" t="s">
        <v>683</v>
      </c>
      <c r="I189" s="185">
        <v>2038</v>
      </c>
      <c r="J189" s="278">
        <f>Obsterlös!Q54</f>
        <v>306</v>
      </c>
      <c r="K189" s="186">
        <v>1</v>
      </c>
      <c r="L189" s="186">
        <v>2</v>
      </c>
      <c r="M189" s="187">
        <f t="shared" si="119"/>
        <v>5.0999999999999996</v>
      </c>
      <c r="N189" s="187">
        <f t="shared" si="120"/>
        <v>10.199999999999999</v>
      </c>
      <c r="O189" s="188" t="s">
        <v>687</v>
      </c>
      <c r="P189" s="189" t="s">
        <v>692</v>
      </c>
      <c r="Q189" s="188"/>
      <c r="R189" s="190"/>
      <c r="S189" s="191"/>
      <c r="T189" s="188" t="s">
        <v>693</v>
      </c>
      <c r="U189" s="189" t="s">
        <v>711</v>
      </c>
      <c r="V189" s="144">
        <f>SUM(Obsterlös!J60,Obsterlös!K60)*(1+3%)^13</f>
        <v>1542.4009592381778</v>
      </c>
    </row>
    <row r="190" spans="1:22" s="371" customFormat="1" ht="80.25" customHeight="1" x14ac:dyDescent="0.25">
      <c r="A190" s="456">
        <v>13</v>
      </c>
      <c r="B190" s="322"/>
      <c r="C190" s="322"/>
      <c r="D190" s="322"/>
      <c r="E190" s="323"/>
      <c r="F190" s="324"/>
      <c r="G190" s="113" t="s">
        <v>681</v>
      </c>
      <c r="H190" s="184" t="s">
        <v>683</v>
      </c>
      <c r="I190" s="185">
        <v>2038</v>
      </c>
      <c r="J190" s="278">
        <f>Obsterlös!Q55</f>
        <v>104</v>
      </c>
      <c r="K190" s="186">
        <v>1</v>
      </c>
      <c r="L190" s="186">
        <v>2</v>
      </c>
      <c r="M190" s="187">
        <f t="shared" si="119"/>
        <v>1.7333333333333334</v>
      </c>
      <c r="N190" s="187">
        <f t="shared" si="120"/>
        <v>3.4666666666666668</v>
      </c>
      <c r="O190" s="188" t="s">
        <v>687</v>
      </c>
      <c r="P190" s="189" t="s">
        <v>692</v>
      </c>
      <c r="Q190" s="188"/>
      <c r="R190" s="190"/>
      <c r="S190" s="191"/>
      <c r="T190" s="188" t="s">
        <v>690</v>
      </c>
      <c r="U190" s="189" t="s">
        <v>711</v>
      </c>
      <c r="V190" s="144">
        <f>Obsterlös!J64*(1+3%)^13</f>
        <v>1531.0345082960623</v>
      </c>
    </row>
    <row r="191" spans="1:22" s="371" customFormat="1" ht="80.25" customHeight="1" x14ac:dyDescent="0.25">
      <c r="A191" s="456">
        <v>13</v>
      </c>
      <c r="B191" s="322"/>
      <c r="C191" s="322"/>
      <c r="D191" s="322"/>
      <c r="E191" s="323"/>
      <c r="F191" s="324"/>
      <c r="G191" s="113" t="s">
        <v>3</v>
      </c>
      <c r="H191" s="184" t="s">
        <v>779</v>
      </c>
      <c r="I191" s="185">
        <v>2038</v>
      </c>
      <c r="J191" s="278">
        <f>SUM(J188:J190)*0.05</f>
        <v>37.5</v>
      </c>
      <c r="K191" s="186">
        <v>1</v>
      </c>
      <c r="L191" s="186">
        <v>2</v>
      </c>
      <c r="M191" s="187">
        <f t="shared" ref="M191:M192" si="121">J191*K191/60</f>
        <v>0.625</v>
      </c>
      <c r="N191" s="187">
        <f t="shared" ref="N191:N192" si="122">J191*L191/60</f>
        <v>1.25</v>
      </c>
      <c r="O191" s="188" t="s">
        <v>687</v>
      </c>
      <c r="P191" s="189" t="s">
        <v>717</v>
      </c>
      <c r="Q191" s="188" t="s">
        <v>423</v>
      </c>
      <c r="R191" s="190" t="s">
        <v>716</v>
      </c>
      <c r="S191" s="191">
        <f>M191*17</f>
        <v>10.625</v>
      </c>
      <c r="T191" s="188"/>
      <c r="U191" s="189" t="s">
        <v>469</v>
      </c>
      <c r="V191" s="144"/>
    </row>
    <row r="192" spans="1:22" s="371" customFormat="1" ht="155.25" customHeight="1" x14ac:dyDescent="0.25">
      <c r="A192" s="456">
        <v>13</v>
      </c>
      <c r="B192" s="322"/>
      <c r="C192" s="322"/>
      <c r="D192" s="322"/>
      <c r="E192" s="323"/>
      <c r="F192" s="324"/>
      <c r="G192" s="113" t="s">
        <v>727</v>
      </c>
      <c r="H192" s="184" t="s">
        <v>728</v>
      </c>
      <c r="I192" s="185">
        <v>2038</v>
      </c>
      <c r="J192" s="278">
        <f>SUM(Obsterlös!I48:I49)*0.2*0.5/5*1.5*4</f>
        <v>273.60000000000002</v>
      </c>
      <c r="K192" s="186">
        <v>0</v>
      </c>
      <c r="L192" s="186">
        <v>1</v>
      </c>
      <c r="M192" s="187">
        <f t="shared" si="121"/>
        <v>0</v>
      </c>
      <c r="N192" s="187">
        <f t="shared" si="122"/>
        <v>4.5600000000000005</v>
      </c>
      <c r="O192" s="188" t="s">
        <v>729</v>
      </c>
      <c r="P192" s="189"/>
      <c r="Q192" s="188"/>
      <c r="R192" s="312"/>
      <c r="S192" s="191"/>
      <c r="T192" s="188" t="s">
        <v>770</v>
      </c>
      <c r="U192" s="189" t="s">
        <v>469</v>
      </c>
      <c r="V192" s="144"/>
    </row>
    <row r="193" spans="1:22" s="371" customFormat="1" ht="138.75" customHeight="1" thickBot="1" x14ac:dyDescent="0.3">
      <c r="A193" s="456">
        <v>13</v>
      </c>
      <c r="B193" s="322"/>
      <c r="C193" s="322"/>
      <c r="D193" s="322"/>
      <c r="E193" s="323"/>
      <c r="F193" s="324"/>
      <c r="G193" s="113" t="s">
        <v>752</v>
      </c>
      <c r="H193" s="184" t="s">
        <v>761</v>
      </c>
      <c r="I193" s="185">
        <v>2038</v>
      </c>
      <c r="J193" s="278">
        <f>Haselnusserlös!A38/2</f>
        <v>204.072</v>
      </c>
      <c r="K193" s="186">
        <v>1</v>
      </c>
      <c r="L193" s="186">
        <v>1</v>
      </c>
      <c r="M193" s="187">
        <f t="shared" ref="M193" si="123">J193*K193/60</f>
        <v>3.4012000000000002</v>
      </c>
      <c r="N193" s="187">
        <f t="shared" ref="N193" si="124">J193*L193/60</f>
        <v>3.4012000000000002</v>
      </c>
      <c r="O193" s="188" t="s">
        <v>760</v>
      </c>
      <c r="P193" s="279" t="s">
        <v>754</v>
      </c>
      <c r="Q193" s="315" t="s">
        <v>762</v>
      </c>
      <c r="R193" s="190" t="s">
        <v>763</v>
      </c>
      <c r="S193" s="191"/>
      <c r="T193" s="316" t="s">
        <v>764</v>
      </c>
      <c r="U193" s="316" t="s">
        <v>469</v>
      </c>
      <c r="V193" s="144">
        <f>Haselnusserlös!A31*(1+3%)^13</f>
        <v>1997.9107464765837</v>
      </c>
    </row>
    <row r="194" spans="1:22" s="78" customFormat="1" ht="36" customHeight="1" thickBot="1" x14ac:dyDescent="0.3">
      <c r="A194" s="87">
        <v>13</v>
      </c>
      <c r="B194" s="98">
        <f>(SUM(M184:M193)*D7)*(1+2%)^13</f>
        <v>648.1957534039185</v>
      </c>
      <c r="C194" s="98">
        <f>(SUM(N184:N193)*D8)*(1+2%)^13</f>
        <v>615.15610866535474</v>
      </c>
      <c r="D194" s="88">
        <f>SUM(S184:S193)</f>
        <v>1623.590767347077</v>
      </c>
      <c r="E194" s="99">
        <f>SUM(B194:D194)</f>
        <v>2886.9426294163504</v>
      </c>
      <c r="F194" s="123">
        <f>SUM(V184:V193)</f>
        <v>6461.2252617699223</v>
      </c>
      <c r="G194" s="174"/>
      <c r="H194" s="73"/>
      <c r="I194" s="175"/>
      <c r="J194" s="74"/>
      <c r="K194" s="75"/>
      <c r="L194" s="75"/>
      <c r="M194" s="75"/>
      <c r="N194" s="75"/>
      <c r="O194" s="76"/>
      <c r="P194" s="176"/>
      <c r="Q194" s="177"/>
      <c r="R194" s="178"/>
      <c r="S194" s="179"/>
      <c r="T194" s="77"/>
      <c r="U194" s="180"/>
      <c r="V194" s="144"/>
    </row>
    <row r="195" spans="1:22" s="371" customFormat="1" ht="136.5" customHeight="1" x14ac:dyDescent="0.25">
      <c r="A195" s="456">
        <v>14</v>
      </c>
      <c r="B195" s="322"/>
      <c r="C195" s="322"/>
      <c r="D195" s="322"/>
      <c r="E195" s="323"/>
      <c r="F195" s="324"/>
      <c r="G195" s="200" t="s">
        <v>608</v>
      </c>
      <c r="H195" s="202" t="s">
        <v>607</v>
      </c>
      <c r="I195" s="171">
        <v>2039</v>
      </c>
      <c r="J195" s="198">
        <v>60</v>
      </c>
      <c r="K195" s="109">
        <v>1</v>
      </c>
      <c r="L195" s="182"/>
      <c r="M195" s="169">
        <f>J195*K195/60</f>
        <v>1</v>
      </c>
      <c r="N195" s="169">
        <f>J195*L195/60</f>
        <v>0</v>
      </c>
      <c r="O195" s="79" t="s">
        <v>610</v>
      </c>
      <c r="P195" s="110" t="s">
        <v>605</v>
      </c>
      <c r="Q195" s="101" t="s">
        <v>604</v>
      </c>
      <c r="R195" s="102"/>
      <c r="S195" s="103"/>
      <c r="T195" s="104" t="s">
        <v>611</v>
      </c>
      <c r="U195" s="72" t="s">
        <v>464</v>
      </c>
      <c r="V195" s="145"/>
    </row>
    <row r="196" spans="1:22" s="371" customFormat="1" ht="136.5" customHeight="1" x14ac:dyDescent="0.25">
      <c r="A196" s="456">
        <v>14</v>
      </c>
      <c r="B196" s="322"/>
      <c r="C196" s="322"/>
      <c r="D196" s="322"/>
      <c r="E196" s="323"/>
      <c r="F196" s="324"/>
      <c r="G196" s="201" t="s">
        <v>609</v>
      </c>
      <c r="H196" s="202" t="s">
        <v>606</v>
      </c>
      <c r="I196" s="171">
        <v>2039</v>
      </c>
      <c r="J196" s="199">
        <v>60</v>
      </c>
      <c r="K196" s="109">
        <v>1</v>
      </c>
      <c r="L196" s="182"/>
      <c r="M196" s="169">
        <f t="shared" ref="M196:M197" si="125">J196*K196/60</f>
        <v>1</v>
      </c>
      <c r="N196" s="169">
        <f t="shared" ref="N196:N197" si="126">J196*L196/60</f>
        <v>0</v>
      </c>
      <c r="O196" s="79" t="s">
        <v>610</v>
      </c>
      <c r="P196" s="110" t="s">
        <v>605</v>
      </c>
      <c r="Q196" s="172" t="s">
        <v>604</v>
      </c>
      <c r="R196" s="109"/>
      <c r="S196" s="173"/>
      <c r="T196" s="111" t="s">
        <v>611</v>
      </c>
      <c r="U196" s="72" t="s">
        <v>464</v>
      </c>
      <c r="V196" s="144"/>
    </row>
    <row r="197" spans="1:22" s="371" customFormat="1" ht="102" customHeight="1" x14ac:dyDescent="0.25">
      <c r="A197" s="456">
        <v>14</v>
      </c>
      <c r="B197" s="322"/>
      <c r="C197" s="322"/>
      <c r="D197" s="322"/>
      <c r="E197" s="323"/>
      <c r="F197" s="324"/>
      <c r="G197" s="201" t="s">
        <v>621</v>
      </c>
      <c r="H197" s="202" t="s">
        <v>622</v>
      </c>
      <c r="I197" s="171">
        <v>2039</v>
      </c>
      <c r="J197" s="105">
        <v>15</v>
      </c>
      <c r="K197" s="106">
        <v>1</v>
      </c>
      <c r="L197" s="182"/>
      <c r="M197" s="169">
        <f t="shared" si="125"/>
        <v>0.25</v>
      </c>
      <c r="N197" s="169">
        <f t="shared" si="126"/>
        <v>0</v>
      </c>
      <c r="O197" s="79" t="s">
        <v>623</v>
      </c>
      <c r="P197" s="170"/>
      <c r="Q197" s="172" t="s">
        <v>624</v>
      </c>
      <c r="R197" s="109" t="s">
        <v>625</v>
      </c>
      <c r="S197" s="173">
        <f>((46*25+36*5)/60*56.25)*(1+2%)^14</f>
        <v>1645.2250826940187</v>
      </c>
      <c r="T197" s="111" t="s">
        <v>647</v>
      </c>
      <c r="U197" s="170" t="s">
        <v>626</v>
      </c>
      <c r="V197" s="144"/>
    </row>
    <row r="198" spans="1:22" s="371" customFormat="1" ht="113.25" customHeight="1" x14ac:dyDescent="0.25">
      <c r="A198" s="456">
        <v>14</v>
      </c>
      <c r="B198" s="322"/>
      <c r="C198" s="322"/>
      <c r="D198" s="322"/>
      <c r="E198" s="323"/>
      <c r="F198" s="324"/>
      <c r="G198" s="113" t="s">
        <v>430</v>
      </c>
      <c r="H198" s="184" t="s">
        <v>470</v>
      </c>
      <c r="I198" s="185">
        <v>2039</v>
      </c>
      <c r="J198" s="112">
        <f>30*8</f>
        <v>240</v>
      </c>
      <c r="K198" s="186">
        <v>1</v>
      </c>
      <c r="L198" s="186"/>
      <c r="M198" s="187">
        <f>J198*K198/60</f>
        <v>4</v>
      </c>
      <c r="N198" s="187">
        <f>J198*L198/60</f>
        <v>0</v>
      </c>
      <c r="O198" s="188" t="s">
        <v>782</v>
      </c>
      <c r="P198" s="189" t="s">
        <v>472</v>
      </c>
      <c r="Q198" s="188"/>
      <c r="R198" s="190"/>
      <c r="S198" s="191"/>
      <c r="T198" s="188" t="s">
        <v>471</v>
      </c>
      <c r="U198" s="192" t="s">
        <v>464</v>
      </c>
      <c r="V198" s="144">
        <f>Futterlauberlös!A23*(1+3%)^14</f>
        <v>20.329205902052692</v>
      </c>
    </row>
    <row r="199" spans="1:22" s="371" customFormat="1" ht="76.5" customHeight="1" x14ac:dyDescent="0.25">
      <c r="A199" s="456">
        <v>14</v>
      </c>
      <c r="B199" s="322"/>
      <c r="C199" s="322"/>
      <c r="D199" s="322"/>
      <c r="E199" s="323"/>
      <c r="F199" s="324"/>
      <c r="G199" s="113" t="s">
        <v>679</v>
      </c>
      <c r="H199" s="184" t="s">
        <v>683</v>
      </c>
      <c r="I199" s="185">
        <v>2039</v>
      </c>
      <c r="J199" s="278">
        <f>Obsterlös!Q53</f>
        <v>340</v>
      </c>
      <c r="K199" s="186">
        <v>1</v>
      </c>
      <c r="L199" s="186">
        <v>2</v>
      </c>
      <c r="M199" s="187">
        <f>J199*K199/60</f>
        <v>5.666666666666667</v>
      </c>
      <c r="N199" s="187">
        <f>J199*L199/60</f>
        <v>11.333333333333334</v>
      </c>
      <c r="O199" s="188" t="s">
        <v>687</v>
      </c>
      <c r="P199" s="189" t="s">
        <v>692</v>
      </c>
      <c r="Q199" s="188"/>
      <c r="R199" s="190"/>
      <c r="S199" s="191"/>
      <c r="T199" s="188" t="s">
        <v>693</v>
      </c>
      <c r="U199" s="189" t="s">
        <v>711</v>
      </c>
      <c r="V199" s="144">
        <f>SUM(Obsterlös!J59,Obsterlös!K59)*(1+3%)^14</f>
        <v>1411.2462132898186</v>
      </c>
    </row>
    <row r="200" spans="1:22" s="371" customFormat="1" ht="74.25" customHeight="1" x14ac:dyDescent="0.25">
      <c r="A200" s="456">
        <v>14</v>
      </c>
      <c r="B200" s="322"/>
      <c r="C200" s="322"/>
      <c r="D200" s="322"/>
      <c r="E200" s="323"/>
      <c r="F200" s="324"/>
      <c r="G200" s="113" t="s">
        <v>680</v>
      </c>
      <c r="H200" s="184" t="s">
        <v>683</v>
      </c>
      <c r="I200" s="185">
        <v>2039</v>
      </c>
      <c r="J200" s="278">
        <f>Obsterlös!Q54</f>
        <v>306</v>
      </c>
      <c r="K200" s="186">
        <v>1</v>
      </c>
      <c r="L200" s="186">
        <v>2</v>
      </c>
      <c r="M200" s="187">
        <f t="shared" ref="M200:M201" si="127">J200*K200/60</f>
        <v>5.0999999999999996</v>
      </c>
      <c r="N200" s="187">
        <f t="shared" ref="N200:N201" si="128">J200*L200/60</f>
        <v>10.199999999999999</v>
      </c>
      <c r="O200" s="188" t="s">
        <v>687</v>
      </c>
      <c r="P200" s="189" t="s">
        <v>692</v>
      </c>
      <c r="Q200" s="188"/>
      <c r="R200" s="190"/>
      <c r="S200" s="191"/>
      <c r="T200" s="188" t="s">
        <v>693</v>
      </c>
      <c r="U200" s="189" t="s">
        <v>711</v>
      </c>
      <c r="V200" s="144">
        <f>SUM(Obsterlös!J60,Obsterlös!K60)*(1+3%)^14</f>
        <v>1588.6729880153234</v>
      </c>
    </row>
    <row r="201" spans="1:22" s="371" customFormat="1" ht="69" customHeight="1" x14ac:dyDescent="0.25">
      <c r="A201" s="456">
        <v>14</v>
      </c>
      <c r="B201" s="322"/>
      <c r="C201" s="322"/>
      <c r="D201" s="322"/>
      <c r="E201" s="323"/>
      <c r="F201" s="324"/>
      <c r="G201" s="113" t="s">
        <v>681</v>
      </c>
      <c r="H201" s="184" t="s">
        <v>683</v>
      </c>
      <c r="I201" s="185">
        <v>2039</v>
      </c>
      <c r="J201" s="278">
        <f>Obsterlös!Q55</f>
        <v>104</v>
      </c>
      <c r="K201" s="186">
        <v>1</v>
      </c>
      <c r="L201" s="186">
        <v>2</v>
      </c>
      <c r="M201" s="187">
        <f t="shared" si="127"/>
        <v>1.7333333333333334</v>
      </c>
      <c r="N201" s="187">
        <f t="shared" si="128"/>
        <v>3.4666666666666668</v>
      </c>
      <c r="O201" s="188" t="s">
        <v>687</v>
      </c>
      <c r="P201" s="189" t="s">
        <v>692</v>
      </c>
      <c r="Q201" s="188"/>
      <c r="R201" s="190"/>
      <c r="S201" s="191"/>
      <c r="T201" s="188" t="s">
        <v>690</v>
      </c>
      <c r="U201" s="189" t="s">
        <v>711</v>
      </c>
      <c r="V201" s="144">
        <f>Obsterlös!J64*(1+3%)^14</f>
        <v>1576.9655435449445</v>
      </c>
    </row>
    <row r="202" spans="1:22" s="371" customFormat="1" ht="69" customHeight="1" x14ac:dyDescent="0.25">
      <c r="A202" s="456">
        <v>14</v>
      </c>
      <c r="B202" s="322"/>
      <c r="C202" s="322"/>
      <c r="D202" s="322"/>
      <c r="E202" s="323"/>
      <c r="F202" s="324"/>
      <c r="G202" s="113" t="s">
        <v>3</v>
      </c>
      <c r="H202" s="184" t="s">
        <v>779</v>
      </c>
      <c r="I202" s="185">
        <v>2039</v>
      </c>
      <c r="J202" s="278">
        <f>SUM(J199:J201)*0.05</f>
        <v>37.5</v>
      </c>
      <c r="K202" s="186">
        <v>1</v>
      </c>
      <c r="L202" s="186">
        <v>2</v>
      </c>
      <c r="M202" s="187">
        <f t="shared" ref="M202:M203" si="129">J202*K202/60</f>
        <v>0.625</v>
      </c>
      <c r="N202" s="187">
        <f t="shared" ref="N202:N203" si="130">J202*L202/60</f>
        <v>1.25</v>
      </c>
      <c r="O202" s="188" t="s">
        <v>687</v>
      </c>
      <c r="P202" s="189" t="s">
        <v>717</v>
      </c>
      <c r="Q202" s="188" t="s">
        <v>423</v>
      </c>
      <c r="R202" s="190" t="s">
        <v>716</v>
      </c>
      <c r="S202" s="191">
        <f>M202*17</f>
        <v>10.625</v>
      </c>
      <c r="T202" s="188"/>
      <c r="U202" s="189" t="s">
        <v>469</v>
      </c>
      <c r="V202" s="144"/>
    </row>
    <row r="203" spans="1:22" s="371" customFormat="1" ht="136.5" customHeight="1" x14ac:dyDescent="0.25">
      <c r="A203" s="456">
        <v>14</v>
      </c>
      <c r="B203" s="322"/>
      <c r="C203" s="322"/>
      <c r="D203" s="322"/>
      <c r="E203" s="323"/>
      <c r="F203" s="324"/>
      <c r="G203" s="113" t="s">
        <v>727</v>
      </c>
      <c r="H203" s="184" t="s">
        <v>728</v>
      </c>
      <c r="I203" s="185">
        <v>2039</v>
      </c>
      <c r="J203" s="278">
        <f>SUM(Obsterlös!I48:I49)*0.2*0.5/5*1.5*4</f>
        <v>273.60000000000002</v>
      </c>
      <c r="K203" s="186">
        <v>0</v>
      </c>
      <c r="L203" s="186">
        <v>1</v>
      </c>
      <c r="M203" s="187">
        <f t="shared" si="129"/>
        <v>0</v>
      </c>
      <c r="N203" s="187">
        <f t="shared" si="130"/>
        <v>4.5600000000000005</v>
      </c>
      <c r="O203" s="188" t="s">
        <v>729</v>
      </c>
      <c r="P203" s="189"/>
      <c r="Q203" s="188"/>
      <c r="R203" s="312"/>
      <c r="S203" s="191"/>
      <c r="T203" s="188" t="s">
        <v>770</v>
      </c>
      <c r="U203" s="189" t="s">
        <v>469</v>
      </c>
      <c r="V203" s="144"/>
    </row>
    <row r="204" spans="1:22" s="371" customFormat="1" ht="86.25" customHeight="1" thickBot="1" x14ac:dyDescent="0.3">
      <c r="A204" s="456">
        <v>14</v>
      </c>
      <c r="B204" s="322"/>
      <c r="C204" s="322"/>
      <c r="D204" s="322"/>
      <c r="E204" s="323"/>
      <c r="F204" s="324"/>
      <c r="G204" s="113" t="s">
        <v>752</v>
      </c>
      <c r="H204" s="184" t="s">
        <v>761</v>
      </c>
      <c r="I204" s="185">
        <v>2039</v>
      </c>
      <c r="J204" s="278">
        <f>Haselnusserlös!A38/2</f>
        <v>204.072</v>
      </c>
      <c r="K204" s="186">
        <v>1</v>
      </c>
      <c r="L204" s="186">
        <v>1</v>
      </c>
      <c r="M204" s="187">
        <f t="shared" ref="M204" si="131">J204*K204/60</f>
        <v>3.4012000000000002</v>
      </c>
      <c r="N204" s="187">
        <f t="shared" ref="N204" si="132">J204*L204/60</f>
        <v>3.4012000000000002</v>
      </c>
      <c r="O204" s="188" t="s">
        <v>760</v>
      </c>
      <c r="P204" s="279" t="s">
        <v>754</v>
      </c>
      <c r="Q204" s="315" t="s">
        <v>762</v>
      </c>
      <c r="R204" s="190" t="s">
        <v>763</v>
      </c>
      <c r="S204" s="191"/>
      <c r="T204" s="316" t="s">
        <v>764</v>
      </c>
      <c r="U204" s="316" t="s">
        <v>469</v>
      </c>
      <c r="V204" s="144">
        <f>Haselnusserlös!A31*(1+3%)^14</f>
        <v>2057.8480688708814</v>
      </c>
    </row>
    <row r="205" spans="1:22" s="78" customFormat="1" ht="36" customHeight="1" thickBot="1" x14ac:dyDescent="0.3">
      <c r="A205" s="87">
        <v>14</v>
      </c>
      <c r="B205" s="98">
        <f>(SUM(M195:M204)*D7)*(1+2%)^14</f>
        <v>661.15966847199695</v>
      </c>
      <c r="C205" s="98">
        <f>(SUM(N195:N204)*D8)*(1+2%)^14</f>
        <v>627.45923083866194</v>
      </c>
      <c r="D205" s="88">
        <f>SUM(S195:S204)</f>
        <v>1655.8500826940187</v>
      </c>
      <c r="E205" s="99">
        <f>SUM(B205:D205)</f>
        <v>2944.4689820046779</v>
      </c>
      <c r="F205" s="123">
        <f>SUM(V195:V204)</f>
        <v>6655.0620196230202</v>
      </c>
      <c r="G205" s="174"/>
      <c r="H205" s="73"/>
      <c r="I205" s="175"/>
      <c r="J205" s="74"/>
      <c r="K205" s="75"/>
      <c r="L205" s="75"/>
      <c r="M205" s="75"/>
      <c r="N205" s="75"/>
      <c r="O205" s="76"/>
      <c r="P205" s="176"/>
      <c r="Q205" s="177"/>
      <c r="R205" s="178"/>
      <c r="S205" s="179"/>
      <c r="T205" s="77"/>
      <c r="U205" s="180"/>
      <c r="V205" s="144"/>
    </row>
    <row r="206" spans="1:22" s="371" customFormat="1" ht="119.25" customHeight="1" x14ac:dyDescent="0.25">
      <c r="A206" s="456">
        <v>15</v>
      </c>
      <c r="B206" s="322"/>
      <c r="C206" s="322"/>
      <c r="D206" s="322"/>
      <c r="E206" s="323"/>
      <c r="F206" s="324"/>
      <c r="G206" s="200" t="s">
        <v>608</v>
      </c>
      <c r="H206" s="202" t="s">
        <v>607</v>
      </c>
      <c r="I206" s="171">
        <v>2040</v>
      </c>
      <c r="J206" s="198">
        <v>60</v>
      </c>
      <c r="K206" s="109">
        <v>1</v>
      </c>
      <c r="L206" s="182"/>
      <c r="M206" s="169">
        <f>J206*K206/60</f>
        <v>1</v>
      </c>
      <c r="N206" s="169">
        <f>J206*L206/60</f>
        <v>0</v>
      </c>
      <c r="O206" s="79" t="s">
        <v>610</v>
      </c>
      <c r="P206" s="110" t="s">
        <v>605</v>
      </c>
      <c r="Q206" s="101" t="s">
        <v>604</v>
      </c>
      <c r="R206" s="102"/>
      <c r="S206" s="103"/>
      <c r="T206" s="104" t="s">
        <v>611</v>
      </c>
      <c r="U206" s="72" t="s">
        <v>464</v>
      </c>
      <c r="V206" s="145"/>
    </row>
    <row r="207" spans="1:22" s="371" customFormat="1" ht="145.5" customHeight="1" x14ac:dyDescent="0.25">
      <c r="A207" s="456">
        <v>15</v>
      </c>
      <c r="B207" s="322"/>
      <c r="C207" s="322"/>
      <c r="D207" s="322"/>
      <c r="E207" s="323"/>
      <c r="F207" s="324"/>
      <c r="G207" s="201" t="s">
        <v>609</v>
      </c>
      <c r="H207" s="202" t="s">
        <v>606</v>
      </c>
      <c r="I207" s="171">
        <v>2040</v>
      </c>
      <c r="J207" s="199">
        <v>60</v>
      </c>
      <c r="K207" s="109">
        <v>1</v>
      </c>
      <c r="L207" s="182"/>
      <c r="M207" s="169">
        <f t="shared" ref="M207:M208" si="133">J207*K207/60</f>
        <v>1</v>
      </c>
      <c r="N207" s="169">
        <f t="shared" ref="N207:N208" si="134">J207*L207/60</f>
        <v>0</v>
      </c>
      <c r="O207" s="79" t="s">
        <v>610</v>
      </c>
      <c r="P207" s="110" t="s">
        <v>605</v>
      </c>
      <c r="Q207" s="172" t="s">
        <v>604</v>
      </c>
      <c r="R207" s="109"/>
      <c r="S207" s="173"/>
      <c r="T207" s="111" t="s">
        <v>611</v>
      </c>
      <c r="U207" s="72" t="s">
        <v>464</v>
      </c>
      <c r="V207" s="144"/>
    </row>
    <row r="208" spans="1:22" s="371" customFormat="1" ht="119.25" customHeight="1" x14ac:dyDescent="0.25">
      <c r="A208" s="456">
        <v>15</v>
      </c>
      <c r="B208" s="322"/>
      <c r="C208" s="322"/>
      <c r="D208" s="322"/>
      <c r="E208" s="323"/>
      <c r="F208" s="324"/>
      <c r="G208" s="201" t="s">
        <v>621</v>
      </c>
      <c r="H208" s="202" t="s">
        <v>622</v>
      </c>
      <c r="I208" s="171">
        <v>2040</v>
      </c>
      <c r="J208" s="105">
        <v>15</v>
      </c>
      <c r="K208" s="106">
        <v>1</v>
      </c>
      <c r="L208" s="182"/>
      <c r="M208" s="169">
        <f t="shared" si="133"/>
        <v>0.25</v>
      </c>
      <c r="N208" s="169">
        <f t="shared" si="134"/>
        <v>0</v>
      </c>
      <c r="O208" s="79" t="s">
        <v>623</v>
      </c>
      <c r="P208" s="170"/>
      <c r="Q208" s="172" t="s">
        <v>624</v>
      </c>
      <c r="R208" s="109" t="s">
        <v>625</v>
      </c>
      <c r="S208" s="173">
        <f>((46*25+36*5)/60*56.25)*(1+2%)^15</f>
        <v>1678.1295843478986</v>
      </c>
      <c r="T208" s="111" t="s">
        <v>647</v>
      </c>
      <c r="U208" s="170" t="s">
        <v>626</v>
      </c>
      <c r="V208" s="144"/>
    </row>
    <row r="209" spans="1:22" s="371" customFormat="1" ht="78.75" customHeight="1" x14ac:dyDescent="0.25">
      <c r="A209" s="456">
        <v>15</v>
      </c>
      <c r="B209" s="322"/>
      <c r="C209" s="322"/>
      <c r="D209" s="322"/>
      <c r="E209" s="323"/>
      <c r="F209" s="324"/>
      <c r="G209" s="113" t="s">
        <v>430</v>
      </c>
      <c r="H209" s="184" t="s">
        <v>470</v>
      </c>
      <c r="I209" s="185">
        <v>2040</v>
      </c>
      <c r="J209" s="112">
        <f>30*8</f>
        <v>240</v>
      </c>
      <c r="K209" s="186">
        <v>1</v>
      </c>
      <c r="L209" s="186"/>
      <c r="M209" s="187">
        <f>J209*K209/60</f>
        <v>4</v>
      </c>
      <c r="N209" s="187">
        <f>J209*L209/60</f>
        <v>0</v>
      </c>
      <c r="O209" s="188" t="s">
        <v>782</v>
      </c>
      <c r="P209" s="189" t="s">
        <v>472</v>
      </c>
      <c r="Q209" s="188"/>
      <c r="R209" s="190"/>
      <c r="S209" s="191"/>
      <c r="T209" s="188" t="s">
        <v>471</v>
      </c>
      <c r="U209" s="192" t="s">
        <v>464</v>
      </c>
      <c r="V209" s="144">
        <f>Futterlauberlös!A23*(1+3%)^15</f>
        <v>20.939082079114272</v>
      </c>
    </row>
    <row r="210" spans="1:22" s="371" customFormat="1" ht="78.75" customHeight="1" x14ac:dyDescent="0.25">
      <c r="A210" s="456">
        <v>15</v>
      </c>
      <c r="B210" s="322"/>
      <c r="C210" s="322"/>
      <c r="D210" s="322"/>
      <c r="E210" s="323"/>
      <c r="F210" s="324"/>
      <c r="G210" s="113" t="s">
        <v>679</v>
      </c>
      <c r="H210" s="184" t="s">
        <v>683</v>
      </c>
      <c r="I210" s="185">
        <v>2040</v>
      </c>
      <c r="J210" s="278">
        <f>Obsterlös!Q53</f>
        <v>340</v>
      </c>
      <c r="K210" s="186">
        <v>1</v>
      </c>
      <c r="L210" s="186">
        <v>2</v>
      </c>
      <c r="M210" s="187">
        <f t="shared" ref="M210:M212" si="135">J210*K210/60</f>
        <v>5.666666666666667</v>
      </c>
      <c r="N210" s="187">
        <f t="shared" ref="N210:N212" si="136">J210*L210/60</f>
        <v>11.333333333333334</v>
      </c>
      <c r="O210" s="188" t="s">
        <v>687</v>
      </c>
      <c r="P210" s="189" t="s">
        <v>692</v>
      </c>
      <c r="Q210" s="188"/>
      <c r="R210" s="190"/>
      <c r="S210" s="191"/>
      <c r="T210" s="188" t="s">
        <v>693</v>
      </c>
      <c r="U210" s="189" t="s">
        <v>711</v>
      </c>
      <c r="V210" s="144">
        <f>SUM(Obsterlös!J59,Obsterlös!K59)*(1+3%)^15</f>
        <v>1453.5835996885132</v>
      </c>
    </row>
    <row r="211" spans="1:22" s="371" customFormat="1" ht="78.75" customHeight="1" x14ac:dyDescent="0.25">
      <c r="A211" s="456">
        <v>15</v>
      </c>
      <c r="B211" s="322"/>
      <c r="C211" s="322"/>
      <c r="D211" s="322"/>
      <c r="E211" s="323"/>
      <c r="F211" s="324"/>
      <c r="G211" s="113" t="s">
        <v>680</v>
      </c>
      <c r="H211" s="184" t="s">
        <v>683</v>
      </c>
      <c r="I211" s="185">
        <v>2040</v>
      </c>
      <c r="J211" s="278">
        <f>Obsterlös!Q54</f>
        <v>306</v>
      </c>
      <c r="K211" s="186">
        <v>1</v>
      </c>
      <c r="L211" s="186">
        <v>2</v>
      </c>
      <c r="M211" s="187">
        <f t="shared" si="135"/>
        <v>5.0999999999999996</v>
      </c>
      <c r="N211" s="187">
        <f t="shared" si="136"/>
        <v>10.199999999999999</v>
      </c>
      <c r="O211" s="188" t="s">
        <v>687</v>
      </c>
      <c r="P211" s="189" t="s">
        <v>692</v>
      </c>
      <c r="Q211" s="188"/>
      <c r="R211" s="190"/>
      <c r="S211" s="191"/>
      <c r="T211" s="188" t="s">
        <v>693</v>
      </c>
      <c r="U211" s="189" t="s">
        <v>711</v>
      </c>
      <c r="V211" s="144">
        <f>SUM(Obsterlös!J60,Obsterlös!K60)*(1+3%)^15</f>
        <v>1636.3331776557832</v>
      </c>
    </row>
    <row r="212" spans="1:22" s="371" customFormat="1" ht="78.75" customHeight="1" x14ac:dyDescent="0.25">
      <c r="A212" s="456">
        <v>15</v>
      </c>
      <c r="B212" s="322"/>
      <c r="C212" s="322"/>
      <c r="D212" s="322"/>
      <c r="E212" s="323"/>
      <c r="F212" s="324"/>
      <c r="G212" s="113" t="s">
        <v>681</v>
      </c>
      <c r="H212" s="184" t="s">
        <v>683</v>
      </c>
      <c r="I212" s="185">
        <v>2040</v>
      </c>
      <c r="J212" s="278">
        <f>Obsterlös!Q55</f>
        <v>104</v>
      </c>
      <c r="K212" s="186">
        <v>1</v>
      </c>
      <c r="L212" s="186">
        <v>2</v>
      </c>
      <c r="M212" s="187">
        <f t="shared" si="135"/>
        <v>1.7333333333333334</v>
      </c>
      <c r="N212" s="187">
        <f t="shared" si="136"/>
        <v>3.4666666666666668</v>
      </c>
      <c r="O212" s="188" t="s">
        <v>687</v>
      </c>
      <c r="P212" s="189" t="s">
        <v>692</v>
      </c>
      <c r="Q212" s="188"/>
      <c r="R212" s="190"/>
      <c r="S212" s="191"/>
      <c r="T212" s="188" t="s">
        <v>690</v>
      </c>
      <c r="U212" s="189" t="s">
        <v>711</v>
      </c>
      <c r="V212" s="144">
        <f>Obsterlös!J64*(1+3%)^15</f>
        <v>1624.2745098512928</v>
      </c>
    </row>
    <row r="213" spans="1:22" s="371" customFormat="1" ht="78.75" customHeight="1" x14ac:dyDescent="0.25">
      <c r="A213" s="456">
        <v>15</v>
      </c>
      <c r="B213" s="322"/>
      <c r="C213" s="322"/>
      <c r="D213" s="322"/>
      <c r="E213" s="323"/>
      <c r="F213" s="324"/>
      <c r="G213" s="113" t="s">
        <v>3</v>
      </c>
      <c r="H213" s="184" t="s">
        <v>779</v>
      </c>
      <c r="I213" s="185">
        <v>2040</v>
      </c>
      <c r="J213" s="278">
        <f>SUM(J210:J212)*0.05</f>
        <v>37.5</v>
      </c>
      <c r="K213" s="186">
        <v>1</v>
      </c>
      <c r="L213" s="186">
        <v>2</v>
      </c>
      <c r="M213" s="187">
        <f t="shared" ref="M213:M214" si="137">J213*K213/60</f>
        <v>0.625</v>
      </c>
      <c r="N213" s="187">
        <f t="shared" ref="N213:N214" si="138">J213*L213/60</f>
        <v>1.25</v>
      </c>
      <c r="O213" s="188" t="s">
        <v>687</v>
      </c>
      <c r="P213" s="189" t="s">
        <v>717</v>
      </c>
      <c r="Q213" s="188" t="s">
        <v>423</v>
      </c>
      <c r="R213" s="190" t="s">
        <v>716</v>
      </c>
      <c r="S213" s="191">
        <f>M213*17</f>
        <v>10.625</v>
      </c>
      <c r="T213" s="188"/>
      <c r="U213" s="189" t="s">
        <v>469</v>
      </c>
      <c r="V213" s="144"/>
    </row>
    <row r="214" spans="1:22" s="371" customFormat="1" ht="131.25" customHeight="1" x14ac:dyDescent="0.25">
      <c r="A214" s="456">
        <v>15</v>
      </c>
      <c r="B214" s="322"/>
      <c r="C214" s="322"/>
      <c r="D214" s="322"/>
      <c r="E214" s="323"/>
      <c r="F214" s="324"/>
      <c r="G214" s="113" t="s">
        <v>727</v>
      </c>
      <c r="H214" s="184" t="s">
        <v>728</v>
      </c>
      <c r="I214" s="185">
        <v>2040</v>
      </c>
      <c r="J214" s="278">
        <f>SUM(Obsterlös!I48:I49)*0.2*0.5/5*1.5*4</f>
        <v>273.60000000000002</v>
      </c>
      <c r="K214" s="186">
        <v>0</v>
      </c>
      <c r="L214" s="186">
        <v>1</v>
      </c>
      <c r="M214" s="187">
        <f t="shared" si="137"/>
        <v>0</v>
      </c>
      <c r="N214" s="187">
        <f t="shared" si="138"/>
        <v>4.5600000000000005</v>
      </c>
      <c r="O214" s="188" t="s">
        <v>729</v>
      </c>
      <c r="P214" s="189"/>
      <c r="Q214" s="188"/>
      <c r="R214" s="312"/>
      <c r="S214" s="191"/>
      <c r="T214" s="188" t="s">
        <v>770</v>
      </c>
      <c r="U214" s="189" t="s">
        <v>469</v>
      </c>
      <c r="V214" s="144"/>
    </row>
    <row r="215" spans="1:22" s="371" customFormat="1" ht="126.75" customHeight="1" thickBot="1" x14ac:dyDescent="0.3">
      <c r="A215" s="456">
        <v>15</v>
      </c>
      <c r="B215" s="322"/>
      <c r="C215" s="322"/>
      <c r="D215" s="322"/>
      <c r="E215" s="323"/>
      <c r="F215" s="324"/>
      <c r="G215" s="113" t="s">
        <v>752</v>
      </c>
      <c r="H215" s="184" t="s">
        <v>761</v>
      </c>
      <c r="I215" s="185">
        <v>2040</v>
      </c>
      <c r="J215" s="278">
        <f>Haselnusserlös!A38/2</f>
        <v>204.072</v>
      </c>
      <c r="K215" s="186">
        <v>1</v>
      </c>
      <c r="L215" s="186">
        <v>1</v>
      </c>
      <c r="M215" s="187">
        <f t="shared" ref="M215" si="139">J215*K215/60</f>
        <v>3.4012000000000002</v>
      </c>
      <c r="N215" s="187">
        <f t="shared" ref="N215" si="140">J215*L215/60</f>
        <v>3.4012000000000002</v>
      </c>
      <c r="O215" s="188" t="s">
        <v>760</v>
      </c>
      <c r="P215" s="279" t="s">
        <v>754</v>
      </c>
      <c r="Q215" s="315" t="s">
        <v>762</v>
      </c>
      <c r="R215" s="190" t="s">
        <v>763</v>
      </c>
      <c r="S215" s="191"/>
      <c r="T215" s="316" t="s">
        <v>764</v>
      </c>
      <c r="U215" s="316" t="s">
        <v>469</v>
      </c>
      <c r="V215" s="144">
        <f>Haselnusserlös!A31*(1+3%)^15</f>
        <v>2119.5835109370082</v>
      </c>
    </row>
    <row r="216" spans="1:22" s="78" customFormat="1" ht="36" customHeight="1" thickBot="1" x14ac:dyDescent="0.3">
      <c r="A216" s="87">
        <v>15</v>
      </c>
      <c r="B216" s="98">
        <f>(SUM(M206:M215)*D7)*(1+2%)^15</f>
        <v>674.38286184143669</v>
      </c>
      <c r="C216" s="98">
        <f>(SUM(N206:N215)*D8)*(1+2%)^15</f>
        <v>640.00841545543494</v>
      </c>
      <c r="D216" s="88">
        <f>SUM(S206:S215)</f>
        <v>1688.7545843478986</v>
      </c>
      <c r="E216" s="99">
        <f>SUM(B216:D216)</f>
        <v>3003.1458616447699</v>
      </c>
      <c r="F216" s="123">
        <f>SUM(V206:V215)</f>
        <v>6854.7138802117124</v>
      </c>
      <c r="G216" s="174"/>
      <c r="H216" s="73"/>
      <c r="I216" s="175"/>
      <c r="J216" s="74"/>
      <c r="K216" s="75"/>
      <c r="L216" s="75"/>
      <c r="M216" s="75"/>
      <c r="N216" s="75"/>
      <c r="O216" s="76"/>
      <c r="P216" s="176"/>
      <c r="Q216" s="177"/>
      <c r="R216" s="178"/>
      <c r="S216" s="179"/>
      <c r="T216" s="77"/>
      <c r="U216" s="180"/>
      <c r="V216" s="144"/>
    </row>
    <row r="217" spans="1:22" s="371" customFormat="1" ht="141.75" customHeight="1" x14ac:dyDescent="0.25">
      <c r="A217" s="456">
        <v>16</v>
      </c>
      <c r="B217" s="322"/>
      <c r="C217" s="322"/>
      <c r="D217" s="322"/>
      <c r="E217" s="323"/>
      <c r="F217" s="324"/>
      <c r="G217" s="200" t="s">
        <v>608</v>
      </c>
      <c r="H217" s="202" t="s">
        <v>607</v>
      </c>
      <c r="I217" s="171">
        <v>2041</v>
      </c>
      <c r="J217" s="198">
        <v>30</v>
      </c>
      <c r="K217" s="109">
        <v>1</v>
      </c>
      <c r="L217" s="182"/>
      <c r="M217" s="169">
        <f>J217*K217/60</f>
        <v>0.5</v>
      </c>
      <c r="N217" s="169">
        <f>J217*L217/60</f>
        <v>0</v>
      </c>
      <c r="O217" s="79" t="s">
        <v>627</v>
      </c>
      <c r="P217" s="110" t="s">
        <v>605</v>
      </c>
      <c r="Q217" s="101" t="s">
        <v>604</v>
      </c>
      <c r="R217" s="102"/>
      <c r="S217" s="103"/>
      <c r="T217" s="104" t="s">
        <v>611</v>
      </c>
      <c r="U217" s="72" t="s">
        <v>464</v>
      </c>
      <c r="V217" s="145"/>
    </row>
    <row r="218" spans="1:22" s="371" customFormat="1" ht="114" customHeight="1" x14ac:dyDescent="0.25">
      <c r="A218" s="456">
        <v>16</v>
      </c>
      <c r="B218" s="322"/>
      <c r="C218" s="322"/>
      <c r="D218" s="322"/>
      <c r="E218" s="323"/>
      <c r="F218" s="324"/>
      <c r="G218" s="201" t="s">
        <v>609</v>
      </c>
      <c r="H218" s="202" t="s">
        <v>606</v>
      </c>
      <c r="I218" s="171">
        <v>2041</v>
      </c>
      <c r="J218" s="199">
        <v>30</v>
      </c>
      <c r="K218" s="109">
        <v>1</v>
      </c>
      <c r="L218" s="182"/>
      <c r="M218" s="169">
        <f t="shared" ref="M218:M219" si="141">J218*K218/60</f>
        <v>0.5</v>
      </c>
      <c r="N218" s="169">
        <f t="shared" ref="N218:N219" si="142">J218*L218/60</f>
        <v>0</v>
      </c>
      <c r="O218" s="79" t="s">
        <v>627</v>
      </c>
      <c r="P218" s="110" t="s">
        <v>605</v>
      </c>
      <c r="Q218" s="172" t="s">
        <v>604</v>
      </c>
      <c r="R218" s="109"/>
      <c r="S218" s="173"/>
      <c r="T218" s="111" t="s">
        <v>611</v>
      </c>
      <c r="U218" s="72" t="s">
        <v>464</v>
      </c>
      <c r="V218" s="144"/>
    </row>
    <row r="219" spans="1:22" s="371" customFormat="1" ht="87.75" customHeight="1" x14ac:dyDescent="0.25">
      <c r="A219" s="456">
        <v>16</v>
      </c>
      <c r="B219" s="322"/>
      <c r="C219" s="322"/>
      <c r="D219" s="322"/>
      <c r="E219" s="323"/>
      <c r="F219" s="324"/>
      <c r="G219" s="201" t="s">
        <v>621</v>
      </c>
      <c r="H219" s="202" t="s">
        <v>622</v>
      </c>
      <c r="I219" s="171">
        <v>2041</v>
      </c>
      <c r="J219" s="105">
        <v>15</v>
      </c>
      <c r="K219" s="106">
        <v>1</v>
      </c>
      <c r="L219" s="182"/>
      <c r="M219" s="169">
        <f t="shared" si="141"/>
        <v>0.25</v>
      </c>
      <c r="N219" s="169">
        <f t="shared" si="142"/>
        <v>0</v>
      </c>
      <c r="O219" s="79" t="s">
        <v>623</v>
      </c>
      <c r="P219" s="170"/>
      <c r="Q219" s="172" t="s">
        <v>624</v>
      </c>
      <c r="R219" s="109" t="s">
        <v>625</v>
      </c>
      <c r="S219" s="173">
        <f>((46*20+36*5)/60*56.25)*(1+2%)^16</f>
        <v>1415.6852583746936</v>
      </c>
      <c r="T219" s="111" t="s">
        <v>766</v>
      </c>
      <c r="U219" s="170" t="s">
        <v>626</v>
      </c>
      <c r="V219" s="144"/>
    </row>
    <row r="220" spans="1:22" s="371" customFormat="1" ht="78.75" customHeight="1" x14ac:dyDescent="0.25">
      <c r="A220" s="456">
        <v>16</v>
      </c>
      <c r="B220" s="322"/>
      <c r="C220" s="322"/>
      <c r="D220" s="322"/>
      <c r="E220" s="323"/>
      <c r="F220" s="324"/>
      <c r="G220" s="113" t="s">
        <v>430</v>
      </c>
      <c r="H220" s="184" t="s">
        <v>470</v>
      </c>
      <c r="I220" s="185">
        <v>2041</v>
      </c>
      <c r="J220" s="112">
        <f>30*8</f>
        <v>240</v>
      </c>
      <c r="K220" s="186">
        <v>1</v>
      </c>
      <c r="L220" s="186"/>
      <c r="M220" s="187">
        <f>J220*K220/60</f>
        <v>4</v>
      </c>
      <c r="N220" s="187">
        <f>J220*L220/60</f>
        <v>0</v>
      </c>
      <c r="O220" s="188" t="s">
        <v>782</v>
      </c>
      <c r="P220" s="189" t="s">
        <v>472</v>
      </c>
      <c r="Q220" s="188"/>
      <c r="R220" s="190"/>
      <c r="S220" s="191"/>
      <c r="T220" s="188" t="s">
        <v>471</v>
      </c>
      <c r="U220" s="192" t="s">
        <v>464</v>
      </c>
      <c r="V220" s="144">
        <f>Futterlauberlös!A23*(1+3%)^16</f>
        <v>21.567254541487696</v>
      </c>
    </row>
    <row r="221" spans="1:22" s="371" customFormat="1" ht="78.75" customHeight="1" x14ac:dyDescent="0.25">
      <c r="A221" s="456">
        <v>16</v>
      </c>
      <c r="B221" s="322"/>
      <c r="C221" s="322"/>
      <c r="D221" s="322"/>
      <c r="E221" s="323"/>
      <c r="F221" s="324"/>
      <c r="G221" s="113" t="s">
        <v>679</v>
      </c>
      <c r="H221" s="184" t="s">
        <v>683</v>
      </c>
      <c r="I221" s="185">
        <v>2041</v>
      </c>
      <c r="J221" s="278">
        <f>Obsterlös!Q53</f>
        <v>340</v>
      </c>
      <c r="K221" s="186">
        <v>1</v>
      </c>
      <c r="L221" s="186">
        <v>2</v>
      </c>
      <c r="M221" s="187">
        <f t="shared" ref="M221:M223" si="143">J221*K221/60</f>
        <v>5.666666666666667</v>
      </c>
      <c r="N221" s="187">
        <f t="shared" ref="N221:N223" si="144">J221*L221/60</f>
        <v>11.333333333333334</v>
      </c>
      <c r="O221" s="188" t="s">
        <v>687</v>
      </c>
      <c r="P221" s="189" t="s">
        <v>692</v>
      </c>
      <c r="Q221" s="188"/>
      <c r="R221" s="190"/>
      <c r="S221" s="191"/>
      <c r="T221" s="188" t="s">
        <v>693</v>
      </c>
      <c r="U221" s="189" t="s">
        <v>711</v>
      </c>
      <c r="V221" s="144">
        <f>SUM(Obsterlös!J59,Obsterlös!K59)*(1+3%)^16</f>
        <v>1497.1911076791685</v>
      </c>
    </row>
    <row r="222" spans="1:22" s="371" customFormat="1" ht="78.75" customHeight="1" x14ac:dyDescent="0.25">
      <c r="A222" s="456">
        <v>16</v>
      </c>
      <c r="B222" s="322"/>
      <c r="C222" s="322"/>
      <c r="D222" s="322"/>
      <c r="E222" s="323"/>
      <c r="F222" s="324"/>
      <c r="G222" s="113" t="s">
        <v>680</v>
      </c>
      <c r="H222" s="184" t="s">
        <v>683</v>
      </c>
      <c r="I222" s="185">
        <v>2041</v>
      </c>
      <c r="J222" s="278">
        <f>Obsterlös!Q54</f>
        <v>306</v>
      </c>
      <c r="K222" s="186">
        <v>1</v>
      </c>
      <c r="L222" s="186">
        <v>2</v>
      </c>
      <c r="M222" s="187">
        <f t="shared" si="143"/>
        <v>5.0999999999999996</v>
      </c>
      <c r="N222" s="187">
        <f t="shared" si="144"/>
        <v>10.199999999999999</v>
      </c>
      <c r="O222" s="188" t="s">
        <v>687</v>
      </c>
      <c r="P222" s="189" t="s">
        <v>692</v>
      </c>
      <c r="Q222" s="188"/>
      <c r="R222" s="190"/>
      <c r="S222" s="191"/>
      <c r="T222" s="188" t="s">
        <v>693</v>
      </c>
      <c r="U222" s="189" t="s">
        <v>711</v>
      </c>
      <c r="V222" s="144">
        <f>SUM(Obsterlös!J60,Obsterlös!K60)*(1+3%)^16</f>
        <v>1685.4231729854564</v>
      </c>
    </row>
    <row r="223" spans="1:22" s="371" customFormat="1" ht="78.75" customHeight="1" x14ac:dyDescent="0.25">
      <c r="A223" s="456">
        <v>16</v>
      </c>
      <c r="B223" s="322"/>
      <c r="C223" s="322"/>
      <c r="D223" s="322"/>
      <c r="E223" s="323"/>
      <c r="F223" s="324"/>
      <c r="G223" s="113" t="s">
        <v>681</v>
      </c>
      <c r="H223" s="184" t="s">
        <v>683</v>
      </c>
      <c r="I223" s="185">
        <v>2041</v>
      </c>
      <c r="J223" s="278">
        <f>Obsterlös!Q55</f>
        <v>104</v>
      </c>
      <c r="K223" s="186">
        <v>1</v>
      </c>
      <c r="L223" s="186">
        <v>2</v>
      </c>
      <c r="M223" s="187">
        <f t="shared" si="143"/>
        <v>1.7333333333333334</v>
      </c>
      <c r="N223" s="187">
        <f t="shared" si="144"/>
        <v>3.4666666666666668</v>
      </c>
      <c r="O223" s="188" t="s">
        <v>687</v>
      </c>
      <c r="P223" s="189" t="s">
        <v>692</v>
      </c>
      <c r="Q223" s="188"/>
      <c r="R223" s="190"/>
      <c r="S223" s="191"/>
      <c r="T223" s="188" t="s">
        <v>690</v>
      </c>
      <c r="U223" s="189" t="s">
        <v>711</v>
      </c>
      <c r="V223" s="144">
        <f>Obsterlös!J64*(1+3%)^16</f>
        <v>1673.0027451468313</v>
      </c>
    </row>
    <row r="224" spans="1:22" s="371" customFormat="1" ht="78.75" customHeight="1" x14ac:dyDescent="0.25">
      <c r="A224" s="456">
        <v>16</v>
      </c>
      <c r="B224" s="322"/>
      <c r="C224" s="322"/>
      <c r="D224" s="322"/>
      <c r="E224" s="323"/>
      <c r="F224" s="324"/>
      <c r="G224" s="113" t="s">
        <v>3</v>
      </c>
      <c r="H224" s="184" t="s">
        <v>779</v>
      </c>
      <c r="I224" s="185">
        <v>2041</v>
      </c>
      <c r="J224" s="278">
        <f>SUM(J221:J223)*0.05</f>
        <v>37.5</v>
      </c>
      <c r="K224" s="186">
        <v>1</v>
      </c>
      <c r="L224" s="186">
        <v>2</v>
      </c>
      <c r="M224" s="187">
        <f t="shared" ref="M224:M225" si="145">J224*K224/60</f>
        <v>0.625</v>
      </c>
      <c r="N224" s="187">
        <f t="shared" ref="N224:N225" si="146">J224*L224/60</f>
        <v>1.25</v>
      </c>
      <c r="O224" s="188" t="s">
        <v>687</v>
      </c>
      <c r="P224" s="189" t="s">
        <v>717</v>
      </c>
      <c r="Q224" s="188" t="s">
        <v>423</v>
      </c>
      <c r="R224" s="190" t="s">
        <v>716</v>
      </c>
      <c r="S224" s="191">
        <f>M224*17</f>
        <v>10.625</v>
      </c>
      <c r="T224" s="188"/>
      <c r="U224" s="189" t="s">
        <v>469</v>
      </c>
      <c r="V224" s="144"/>
    </row>
    <row r="225" spans="1:22" s="371" customFormat="1" ht="144" customHeight="1" x14ac:dyDescent="0.25">
      <c r="A225" s="456">
        <v>16</v>
      </c>
      <c r="B225" s="322"/>
      <c r="C225" s="322"/>
      <c r="D225" s="322"/>
      <c r="E225" s="323"/>
      <c r="F225" s="324"/>
      <c r="G225" s="113" t="s">
        <v>727</v>
      </c>
      <c r="H225" s="184" t="s">
        <v>728</v>
      </c>
      <c r="I225" s="185">
        <v>2041</v>
      </c>
      <c r="J225" s="278">
        <f>SUM(Obsterlös!I48:I49)*0.2*0.5/5*1.5*4</f>
        <v>273.60000000000002</v>
      </c>
      <c r="K225" s="186">
        <v>0</v>
      </c>
      <c r="L225" s="186">
        <v>1</v>
      </c>
      <c r="M225" s="187">
        <f t="shared" si="145"/>
        <v>0</v>
      </c>
      <c r="N225" s="187">
        <f t="shared" si="146"/>
        <v>4.5600000000000005</v>
      </c>
      <c r="O225" s="188" t="s">
        <v>729</v>
      </c>
      <c r="P225" s="189"/>
      <c r="Q225" s="188"/>
      <c r="R225" s="312"/>
      <c r="S225" s="191"/>
      <c r="T225" s="188" t="s">
        <v>770</v>
      </c>
      <c r="U225" s="189" t="s">
        <v>469</v>
      </c>
      <c r="V225" s="144"/>
    </row>
    <row r="226" spans="1:22" s="371" customFormat="1" ht="129" customHeight="1" thickBot="1" x14ac:dyDescent="0.3">
      <c r="A226" s="456">
        <v>16</v>
      </c>
      <c r="B226" s="322"/>
      <c r="C226" s="322"/>
      <c r="D226" s="322"/>
      <c r="E226" s="323"/>
      <c r="F226" s="324"/>
      <c r="G226" s="113" t="s">
        <v>752</v>
      </c>
      <c r="H226" s="184" t="s">
        <v>761</v>
      </c>
      <c r="I226" s="185">
        <v>2041</v>
      </c>
      <c r="J226" s="278">
        <f>Haselnusserlös!A38/2</f>
        <v>204.072</v>
      </c>
      <c r="K226" s="186">
        <v>1</v>
      </c>
      <c r="L226" s="186">
        <v>1</v>
      </c>
      <c r="M226" s="187">
        <f t="shared" ref="M226" si="147">J226*K226/60</f>
        <v>3.4012000000000002</v>
      </c>
      <c r="N226" s="187">
        <f t="shared" ref="N226" si="148">J226*L226/60</f>
        <v>3.4012000000000002</v>
      </c>
      <c r="O226" s="188" t="s">
        <v>760</v>
      </c>
      <c r="P226" s="279" t="s">
        <v>754</v>
      </c>
      <c r="Q226" s="315" t="s">
        <v>762</v>
      </c>
      <c r="R226" s="190" t="s">
        <v>763</v>
      </c>
      <c r="S226" s="191"/>
      <c r="T226" s="316" t="s">
        <v>764</v>
      </c>
      <c r="U226" s="316" t="s">
        <v>469</v>
      </c>
      <c r="V226" s="144">
        <f>Haselnusserlös!A31*(1+3%)^16</f>
        <v>2183.1710162651179</v>
      </c>
    </row>
    <row r="227" spans="1:22" s="78" customFormat="1" ht="36" customHeight="1" thickBot="1" x14ac:dyDescent="0.3">
      <c r="A227" s="87">
        <v>16</v>
      </c>
      <c r="B227" s="98">
        <f>(SUM(M217:M226)*D7)*(1+2%)^16</f>
        <v>657.66923356627206</v>
      </c>
      <c r="C227" s="98">
        <f>(SUM(N217:N226)*D8)*(1+2%)^16</f>
        <v>652.80858376454376</v>
      </c>
      <c r="D227" s="88">
        <f>SUM(S217:S226)</f>
        <v>1426.3102583746936</v>
      </c>
      <c r="E227" s="99">
        <f>SUM(B227:D227)</f>
        <v>2736.7880757055095</v>
      </c>
      <c r="F227" s="123">
        <f>SUM(V217:V226)</f>
        <v>7060.3552966180614</v>
      </c>
      <c r="G227" s="174"/>
      <c r="H227" s="73"/>
      <c r="I227" s="175"/>
      <c r="J227" s="74"/>
      <c r="K227" s="75"/>
      <c r="L227" s="75"/>
      <c r="M227" s="75"/>
      <c r="N227" s="75"/>
      <c r="O227" s="76"/>
      <c r="P227" s="176"/>
      <c r="Q227" s="177"/>
      <c r="R227" s="178"/>
      <c r="S227" s="179"/>
      <c r="T227" s="77"/>
      <c r="U227" s="180"/>
      <c r="V227" s="144"/>
    </row>
    <row r="228" spans="1:22" s="371" customFormat="1" ht="121.5" customHeight="1" x14ac:dyDescent="0.25">
      <c r="A228" s="456">
        <v>17</v>
      </c>
      <c r="B228" s="322"/>
      <c r="C228" s="322"/>
      <c r="D228" s="322"/>
      <c r="E228" s="323"/>
      <c r="F228" s="324"/>
      <c r="G228" s="200" t="s">
        <v>608</v>
      </c>
      <c r="H228" s="202" t="s">
        <v>607</v>
      </c>
      <c r="I228" s="171">
        <v>2042</v>
      </c>
      <c r="J228" s="198">
        <v>30</v>
      </c>
      <c r="K228" s="109">
        <v>1</v>
      </c>
      <c r="L228" s="182"/>
      <c r="M228" s="169">
        <f>J228*K228/60</f>
        <v>0.5</v>
      </c>
      <c r="N228" s="169">
        <f>J228*L228/60</f>
        <v>0</v>
      </c>
      <c r="O228" s="79" t="s">
        <v>627</v>
      </c>
      <c r="P228" s="110" t="s">
        <v>605</v>
      </c>
      <c r="Q228" s="101" t="s">
        <v>604</v>
      </c>
      <c r="R228" s="102"/>
      <c r="S228" s="103"/>
      <c r="T228" s="104" t="s">
        <v>611</v>
      </c>
      <c r="U228" s="72" t="s">
        <v>464</v>
      </c>
      <c r="V228" s="145"/>
    </row>
    <row r="229" spans="1:22" s="371" customFormat="1" ht="121.5" customHeight="1" x14ac:dyDescent="0.25">
      <c r="A229" s="456">
        <v>17</v>
      </c>
      <c r="B229" s="322"/>
      <c r="C229" s="322"/>
      <c r="D229" s="322"/>
      <c r="E229" s="323"/>
      <c r="F229" s="324"/>
      <c r="G229" s="201" t="s">
        <v>609</v>
      </c>
      <c r="H229" s="202" t="s">
        <v>606</v>
      </c>
      <c r="I229" s="171">
        <v>2042</v>
      </c>
      <c r="J229" s="199">
        <v>30</v>
      </c>
      <c r="K229" s="109">
        <v>1</v>
      </c>
      <c r="L229" s="182"/>
      <c r="M229" s="169">
        <f t="shared" ref="M229:M230" si="149">J229*K229/60</f>
        <v>0.5</v>
      </c>
      <c r="N229" s="169">
        <f t="shared" ref="N229:N230" si="150">J229*L229/60</f>
        <v>0</v>
      </c>
      <c r="O229" s="79" t="s">
        <v>627</v>
      </c>
      <c r="P229" s="110" t="s">
        <v>605</v>
      </c>
      <c r="Q229" s="172" t="s">
        <v>604</v>
      </c>
      <c r="R229" s="109"/>
      <c r="S229" s="173"/>
      <c r="T229" s="111" t="s">
        <v>611</v>
      </c>
      <c r="U229" s="72" t="s">
        <v>464</v>
      </c>
      <c r="V229" s="144"/>
    </row>
    <row r="230" spans="1:22" s="371" customFormat="1" ht="92.25" customHeight="1" x14ac:dyDescent="0.25">
      <c r="A230" s="456">
        <v>17</v>
      </c>
      <c r="B230" s="322"/>
      <c r="C230" s="322"/>
      <c r="D230" s="322"/>
      <c r="E230" s="323"/>
      <c r="F230" s="324"/>
      <c r="G230" s="201" t="s">
        <v>621</v>
      </c>
      <c r="H230" s="202" t="s">
        <v>622</v>
      </c>
      <c r="I230" s="171">
        <v>2042</v>
      </c>
      <c r="J230" s="105">
        <v>15</v>
      </c>
      <c r="K230" s="106">
        <v>1</v>
      </c>
      <c r="L230" s="182"/>
      <c r="M230" s="169">
        <f t="shared" si="149"/>
        <v>0.25</v>
      </c>
      <c r="N230" s="169">
        <f t="shared" si="150"/>
        <v>0</v>
      </c>
      <c r="O230" s="79" t="s">
        <v>623</v>
      </c>
      <c r="P230" s="170"/>
      <c r="Q230" s="172" t="s">
        <v>624</v>
      </c>
      <c r="R230" s="109" t="s">
        <v>625</v>
      </c>
      <c r="S230" s="173">
        <f>((46*20+36*5)/60*56.25)*(1+2%)^17</f>
        <v>1443.9989635421878</v>
      </c>
      <c r="T230" s="111" t="s">
        <v>766</v>
      </c>
      <c r="U230" s="170" t="s">
        <v>626</v>
      </c>
      <c r="V230" s="271"/>
    </row>
    <row r="231" spans="1:22" s="371" customFormat="1" ht="106.5" customHeight="1" x14ac:dyDescent="0.25">
      <c r="A231" s="456">
        <v>17</v>
      </c>
      <c r="B231" s="322"/>
      <c r="C231" s="322"/>
      <c r="D231" s="322"/>
      <c r="E231" s="323"/>
      <c r="F231" s="324"/>
      <c r="G231" s="113" t="s">
        <v>430</v>
      </c>
      <c r="H231" s="184" t="s">
        <v>470</v>
      </c>
      <c r="I231" s="185">
        <v>2042</v>
      </c>
      <c r="J231" s="112">
        <f>30*8</f>
        <v>240</v>
      </c>
      <c r="K231" s="186">
        <v>1</v>
      </c>
      <c r="L231" s="186"/>
      <c r="M231" s="187">
        <f>J231*K231/60</f>
        <v>4</v>
      </c>
      <c r="N231" s="187">
        <f>J231*L231/60</f>
        <v>0</v>
      </c>
      <c r="O231" s="188" t="s">
        <v>782</v>
      </c>
      <c r="P231" s="189" t="s">
        <v>472</v>
      </c>
      <c r="Q231" s="188"/>
      <c r="R231" s="190"/>
      <c r="S231" s="191"/>
      <c r="T231" s="188" t="s">
        <v>471</v>
      </c>
      <c r="U231" s="192" t="s">
        <v>464</v>
      </c>
      <c r="V231" s="144">
        <f>Futterlauberlös!A23*(1+3%)^17</f>
        <v>22.21427217773233</v>
      </c>
    </row>
    <row r="232" spans="1:22" s="371" customFormat="1" ht="106.5" customHeight="1" x14ac:dyDescent="0.25">
      <c r="A232" s="456">
        <v>17</v>
      </c>
      <c r="B232" s="322"/>
      <c r="C232" s="322"/>
      <c r="D232" s="322"/>
      <c r="E232" s="323"/>
      <c r="F232" s="324"/>
      <c r="G232" s="113" t="s">
        <v>679</v>
      </c>
      <c r="H232" s="184" t="s">
        <v>683</v>
      </c>
      <c r="I232" s="185">
        <v>2042</v>
      </c>
      <c r="J232" s="278">
        <f>Obsterlös!Q53</f>
        <v>340</v>
      </c>
      <c r="K232" s="186">
        <v>1</v>
      </c>
      <c r="L232" s="186">
        <v>2</v>
      </c>
      <c r="M232" s="187">
        <f t="shared" ref="M232:M233" si="151">J232*K232/60</f>
        <v>5.666666666666667</v>
      </c>
      <c r="N232" s="187">
        <f t="shared" ref="N232:N233" si="152">J232*L232/60</f>
        <v>11.333333333333334</v>
      </c>
      <c r="O232" s="188" t="s">
        <v>687</v>
      </c>
      <c r="P232" s="189" t="s">
        <v>692</v>
      </c>
      <c r="Q232" s="188"/>
      <c r="R232" s="190"/>
      <c r="S232" s="191"/>
      <c r="T232" s="188" t="s">
        <v>693</v>
      </c>
      <c r="U232" s="189" t="s">
        <v>711</v>
      </c>
      <c r="V232" s="144">
        <f>SUM(Obsterlös!J59,Obsterlös!K59)*(1+3%)^17</f>
        <v>1542.1068409095433</v>
      </c>
    </row>
    <row r="233" spans="1:22" s="371" customFormat="1" ht="106.5" customHeight="1" x14ac:dyDescent="0.25">
      <c r="A233" s="456">
        <v>17</v>
      </c>
      <c r="B233" s="322"/>
      <c r="C233" s="322"/>
      <c r="D233" s="322"/>
      <c r="E233" s="323"/>
      <c r="F233" s="324"/>
      <c r="G233" s="113" t="s">
        <v>680</v>
      </c>
      <c r="H233" s="184" t="s">
        <v>683</v>
      </c>
      <c r="I233" s="185">
        <v>2042</v>
      </c>
      <c r="J233" s="278">
        <f>Obsterlös!Q54</f>
        <v>306</v>
      </c>
      <c r="K233" s="186">
        <v>1</v>
      </c>
      <c r="L233" s="186">
        <v>2</v>
      </c>
      <c r="M233" s="187">
        <f t="shared" si="151"/>
        <v>5.0999999999999996</v>
      </c>
      <c r="N233" s="187">
        <f t="shared" si="152"/>
        <v>10.199999999999999</v>
      </c>
      <c r="O233" s="188" t="s">
        <v>687</v>
      </c>
      <c r="P233" s="189" t="s">
        <v>692</v>
      </c>
      <c r="Q233" s="188"/>
      <c r="R233" s="190"/>
      <c r="S233" s="191"/>
      <c r="T233" s="188" t="s">
        <v>693</v>
      </c>
      <c r="U233" s="189" t="s">
        <v>711</v>
      </c>
      <c r="V233" s="144">
        <f>SUM(Obsterlös!J60,Obsterlös!K60)*(1+3%)^17</f>
        <v>1735.98586817502</v>
      </c>
    </row>
    <row r="234" spans="1:22" s="371" customFormat="1" ht="76.5" customHeight="1" x14ac:dyDescent="0.25">
      <c r="A234" s="456">
        <v>17</v>
      </c>
      <c r="B234" s="322"/>
      <c r="C234" s="322"/>
      <c r="D234" s="322"/>
      <c r="E234" s="323"/>
      <c r="F234" s="324"/>
      <c r="G234" s="113" t="s">
        <v>681</v>
      </c>
      <c r="H234" s="184" t="s">
        <v>683</v>
      </c>
      <c r="I234" s="185">
        <v>2042</v>
      </c>
      <c r="J234" s="278">
        <f>Obsterlös!Q55</f>
        <v>104</v>
      </c>
      <c r="K234" s="186">
        <v>1</v>
      </c>
      <c r="L234" s="186">
        <v>2</v>
      </c>
      <c r="M234" s="187">
        <f>J234*K234/60</f>
        <v>1.7333333333333334</v>
      </c>
      <c r="N234" s="187">
        <f>J234*L234/60</f>
        <v>3.4666666666666668</v>
      </c>
      <c r="O234" s="188" t="s">
        <v>687</v>
      </c>
      <c r="P234" s="189" t="s">
        <v>692</v>
      </c>
      <c r="Q234" s="188"/>
      <c r="R234" s="190"/>
      <c r="S234" s="191"/>
      <c r="T234" s="188" t="s">
        <v>690</v>
      </c>
      <c r="U234" s="189" t="s">
        <v>711</v>
      </c>
      <c r="V234" s="144">
        <f>Obsterlös!J64*(1+3%)^17</f>
        <v>1723.1928275012363</v>
      </c>
    </row>
    <row r="235" spans="1:22" s="371" customFormat="1" ht="66.75" customHeight="1" x14ac:dyDescent="0.25">
      <c r="A235" s="456">
        <v>17</v>
      </c>
      <c r="B235" s="322"/>
      <c r="C235" s="322"/>
      <c r="D235" s="322"/>
      <c r="E235" s="323"/>
      <c r="F235" s="324"/>
      <c r="G235" s="113" t="s">
        <v>3</v>
      </c>
      <c r="H235" s="184" t="s">
        <v>779</v>
      </c>
      <c r="I235" s="185">
        <v>2042</v>
      </c>
      <c r="J235" s="278">
        <f>SUM(J232:J234)*0.05</f>
        <v>37.5</v>
      </c>
      <c r="K235" s="186">
        <v>1</v>
      </c>
      <c r="L235" s="186">
        <v>2</v>
      </c>
      <c r="M235" s="187">
        <f>J235*K235/60</f>
        <v>0.625</v>
      </c>
      <c r="N235" s="187">
        <f>J235*L235/60</f>
        <v>1.25</v>
      </c>
      <c r="O235" s="188" t="s">
        <v>687</v>
      </c>
      <c r="P235" s="189" t="s">
        <v>717</v>
      </c>
      <c r="Q235" s="188" t="s">
        <v>423</v>
      </c>
      <c r="R235" s="190" t="s">
        <v>716</v>
      </c>
      <c r="S235" s="191">
        <f>M235*17</f>
        <v>10.625</v>
      </c>
      <c r="T235" s="188"/>
      <c r="U235" s="189" t="s">
        <v>469</v>
      </c>
      <c r="V235" s="144"/>
    </row>
    <row r="236" spans="1:22" s="371" customFormat="1" ht="141.75" customHeight="1" x14ac:dyDescent="0.25">
      <c r="A236" s="456">
        <v>17</v>
      </c>
      <c r="B236" s="322"/>
      <c r="C236" s="322"/>
      <c r="D236" s="322"/>
      <c r="E236" s="323"/>
      <c r="F236" s="324"/>
      <c r="G236" s="113" t="s">
        <v>727</v>
      </c>
      <c r="H236" s="184" t="s">
        <v>728</v>
      </c>
      <c r="I236" s="185">
        <v>2042</v>
      </c>
      <c r="J236" s="278">
        <f>SUM(Obsterlös!I48:I49)*0.2*0.5/5*1.5*4</f>
        <v>273.60000000000002</v>
      </c>
      <c r="K236" s="186">
        <v>0</v>
      </c>
      <c r="L236" s="186">
        <v>1</v>
      </c>
      <c r="M236" s="187">
        <f t="shared" ref="M236" si="153">J236*K236/60</f>
        <v>0</v>
      </c>
      <c r="N236" s="187">
        <f t="shared" ref="N236" si="154">J236*L236/60</f>
        <v>4.5600000000000005</v>
      </c>
      <c r="O236" s="188" t="s">
        <v>729</v>
      </c>
      <c r="P236" s="189"/>
      <c r="Q236" s="188"/>
      <c r="R236" s="312"/>
      <c r="S236" s="191"/>
      <c r="T236" s="188" t="s">
        <v>770</v>
      </c>
      <c r="U236" s="189" t="s">
        <v>469</v>
      </c>
      <c r="V236" s="144"/>
    </row>
    <row r="237" spans="1:22" s="371" customFormat="1" ht="95.25" customHeight="1" thickBot="1" x14ac:dyDescent="0.3">
      <c r="A237" s="456">
        <v>17</v>
      </c>
      <c r="B237" s="322"/>
      <c r="C237" s="322"/>
      <c r="D237" s="322"/>
      <c r="E237" s="323"/>
      <c r="F237" s="324"/>
      <c r="G237" s="113" t="s">
        <v>752</v>
      </c>
      <c r="H237" s="184" t="s">
        <v>761</v>
      </c>
      <c r="I237" s="185">
        <v>2042</v>
      </c>
      <c r="J237" s="278">
        <f>Haselnusserlös!A38/2</f>
        <v>204.072</v>
      </c>
      <c r="K237" s="186">
        <v>1</v>
      </c>
      <c r="L237" s="186">
        <v>1</v>
      </c>
      <c r="M237" s="187">
        <f t="shared" ref="M237" si="155">J237*K237/60</f>
        <v>3.4012000000000002</v>
      </c>
      <c r="N237" s="187">
        <f t="shared" ref="N237" si="156">J237*L237/60</f>
        <v>3.4012000000000002</v>
      </c>
      <c r="O237" s="188" t="s">
        <v>760</v>
      </c>
      <c r="P237" s="279" t="s">
        <v>754</v>
      </c>
      <c r="Q237" s="315" t="s">
        <v>762</v>
      </c>
      <c r="R237" s="190" t="s">
        <v>763</v>
      </c>
      <c r="S237" s="191"/>
      <c r="T237" s="316" t="s">
        <v>764</v>
      </c>
      <c r="U237" s="316" t="s">
        <v>469</v>
      </c>
      <c r="V237" s="144">
        <f>Haselnusserlös!A31*(1+3%)^17</f>
        <v>2248.6661467530712</v>
      </c>
    </row>
    <row r="238" spans="1:22" s="78" customFormat="1" ht="36" customHeight="1" thickBot="1" x14ac:dyDescent="0.3">
      <c r="A238" s="87">
        <v>17</v>
      </c>
      <c r="B238" s="98">
        <f>(SUM(M228:M237)*D7)*(1+2%)^17</f>
        <v>670.82261823759757</v>
      </c>
      <c r="C238" s="98">
        <f>(SUM(N228:N237)*D8)*(1+2%)^17</f>
        <v>665.86475543983465</v>
      </c>
      <c r="D238" s="88">
        <f>SUM(S228:S237)</f>
        <v>1454.6239635421878</v>
      </c>
      <c r="E238" s="99">
        <f>SUM(B238:D238)</f>
        <v>2791.3113372196203</v>
      </c>
      <c r="F238" s="123">
        <f>SUM(V228:V237)</f>
        <v>7272.1659555166025</v>
      </c>
      <c r="G238" s="174"/>
      <c r="H238" s="73"/>
      <c r="I238" s="175"/>
      <c r="J238" s="74"/>
      <c r="K238" s="75"/>
      <c r="L238" s="75"/>
      <c r="M238" s="75"/>
      <c r="N238" s="75"/>
      <c r="O238" s="76"/>
      <c r="P238" s="176"/>
      <c r="Q238" s="177"/>
      <c r="R238" s="178"/>
      <c r="S238" s="179"/>
      <c r="T238" s="77"/>
      <c r="U238" s="180"/>
      <c r="V238" s="144"/>
    </row>
    <row r="239" spans="1:22" s="371" customFormat="1" ht="125.25" customHeight="1" x14ac:dyDescent="0.25">
      <c r="A239" s="456">
        <v>18</v>
      </c>
      <c r="B239" s="322"/>
      <c r="C239" s="322"/>
      <c r="D239" s="322"/>
      <c r="E239" s="323"/>
      <c r="F239" s="324"/>
      <c r="G239" s="200" t="s">
        <v>608</v>
      </c>
      <c r="H239" s="202" t="s">
        <v>607</v>
      </c>
      <c r="I239" s="171">
        <v>2043</v>
      </c>
      <c r="J239" s="198">
        <v>30</v>
      </c>
      <c r="K239" s="109">
        <v>1</v>
      </c>
      <c r="L239" s="182"/>
      <c r="M239" s="169">
        <f>J239*K239/60</f>
        <v>0.5</v>
      </c>
      <c r="N239" s="169">
        <f>J239*L239/60</f>
        <v>0</v>
      </c>
      <c r="O239" s="79" t="s">
        <v>627</v>
      </c>
      <c r="P239" s="110" t="s">
        <v>605</v>
      </c>
      <c r="Q239" s="101" t="s">
        <v>604</v>
      </c>
      <c r="R239" s="102"/>
      <c r="S239" s="103"/>
      <c r="T239" s="104" t="s">
        <v>611</v>
      </c>
      <c r="U239" s="72" t="s">
        <v>464</v>
      </c>
      <c r="V239" s="145"/>
    </row>
    <row r="240" spans="1:22" s="371" customFormat="1" ht="138" customHeight="1" x14ac:dyDescent="0.25">
      <c r="A240" s="456">
        <v>18</v>
      </c>
      <c r="B240" s="322"/>
      <c r="C240" s="322"/>
      <c r="D240" s="322"/>
      <c r="E240" s="323"/>
      <c r="F240" s="324"/>
      <c r="G240" s="201" t="s">
        <v>609</v>
      </c>
      <c r="H240" s="202" t="s">
        <v>606</v>
      </c>
      <c r="I240" s="171">
        <v>2043</v>
      </c>
      <c r="J240" s="199">
        <v>30</v>
      </c>
      <c r="K240" s="109">
        <v>1</v>
      </c>
      <c r="L240" s="182"/>
      <c r="M240" s="169">
        <f t="shared" ref="M240:M241" si="157">J240*K240/60</f>
        <v>0.5</v>
      </c>
      <c r="N240" s="169">
        <f t="shared" ref="N240:N241" si="158">J240*L240/60</f>
        <v>0</v>
      </c>
      <c r="O240" s="79" t="s">
        <v>627</v>
      </c>
      <c r="P240" s="110" t="s">
        <v>605</v>
      </c>
      <c r="Q240" s="172" t="s">
        <v>604</v>
      </c>
      <c r="R240" s="109"/>
      <c r="S240" s="173"/>
      <c r="T240" s="111" t="s">
        <v>611</v>
      </c>
      <c r="U240" s="72" t="s">
        <v>464</v>
      </c>
      <c r="V240" s="144"/>
    </row>
    <row r="241" spans="1:22" s="371" customFormat="1" ht="100.5" customHeight="1" x14ac:dyDescent="0.25">
      <c r="A241" s="456">
        <v>18</v>
      </c>
      <c r="B241" s="322"/>
      <c r="C241" s="322"/>
      <c r="D241" s="322"/>
      <c r="E241" s="323"/>
      <c r="F241" s="324"/>
      <c r="G241" s="201" t="s">
        <v>621</v>
      </c>
      <c r="H241" s="202" t="s">
        <v>622</v>
      </c>
      <c r="I241" s="171">
        <v>2043</v>
      </c>
      <c r="J241" s="105">
        <v>15</v>
      </c>
      <c r="K241" s="106">
        <v>1</v>
      </c>
      <c r="L241" s="182"/>
      <c r="M241" s="169">
        <f t="shared" si="157"/>
        <v>0.25</v>
      </c>
      <c r="N241" s="169">
        <f t="shared" si="158"/>
        <v>0</v>
      </c>
      <c r="O241" s="79" t="s">
        <v>623</v>
      </c>
      <c r="P241" s="170"/>
      <c r="Q241" s="172" t="s">
        <v>624</v>
      </c>
      <c r="R241" s="109" t="s">
        <v>625</v>
      </c>
      <c r="S241" s="173">
        <f>((46*20+36*5)/60*56.25)*(1+2%)^18</f>
        <v>1472.8789428130312</v>
      </c>
      <c r="T241" s="111" t="s">
        <v>766</v>
      </c>
      <c r="U241" s="170" t="s">
        <v>626</v>
      </c>
      <c r="V241" s="144"/>
    </row>
    <row r="242" spans="1:22" s="371" customFormat="1" ht="78.75" customHeight="1" x14ac:dyDescent="0.25">
      <c r="A242" s="456">
        <v>18</v>
      </c>
      <c r="B242" s="322"/>
      <c r="C242" s="322"/>
      <c r="D242" s="322"/>
      <c r="E242" s="323"/>
      <c r="F242" s="324"/>
      <c r="G242" s="113" t="s">
        <v>430</v>
      </c>
      <c r="H242" s="184" t="s">
        <v>470</v>
      </c>
      <c r="I242" s="185">
        <v>2043</v>
      </c>
      <c r="J242" s="112">
        <f>30*8</f>
        <v>240</v>
      </c>
      <c r="K242" s="186">
        <v>1</v>
      </c>
      <c r="L242" s="186"/>
      <c r="M242" s="187">
        <f>J242*K242/60</f>
        <v>4</v>
      </c>
      <c r="N242" s="187">
        <f>J242*L242/60</f>
        <v>0</v>
      </c>
      <c r="O242" s="188" t="s">
        <v>782</v>
      </c>
      <c r="P242" s="189" t="s">
        <v>472</v>
      </c>
      <c r="Q242" s="188"/>
      <c r="R242" s="190"/>
      <c r="S242" s="191"/>
      <c r="T242" s="188" t="s">
        <v>471</v>
      </c>
      <c r="U242" s="192" t="s">
        <v>464</v>
      </c>
      <c r="V242" s="144">
        <f>Futterlauberlös!A23*(1+3%)^18</f>
        <v>22.880700343064298</v>
      </c>
    </row>
    <row r="243" spans="1:22" s="371" customFormat="1" ht="78.75" customHeight="1" x14ac:dyDescent="0.25">
      <c r="A243" s="456">
        <v>18</v>
      </c>
      <c r="B243" s="322"/>
      <c r="C243" s="322"/>
      <c r="D243" s="322"/>
      <c r="E243" s="323"/>
      <c r="F243" s="324"/>
      <c r="G243" s="113" t="s">
        <v>679</v>
      </c>
      <c r="H243" s="184" t="s">
        <v>683</v>
      </c>
      <c r="I243" s="185">
        <v>2043</v>
      </c>
      <c r="J243" s="278">
        <f>Obsterlös!Q53</f>
        <v>340</v>
      </c>
      <c r="K243" s="186">
        <v>1</v>
      </c>
      <c r="L243" s="186">
        <v>2</v>
      </c>
      <c r="M243" s="187">
        <f t="shared" ref="M243:M245" si="159">J243*K243/60</f>
        <v>5.666666666666667</v>
      </c>
      <c r="N243" s="187">
        <f t="shared" ref="N243:N245" si="160">J243*L243/60</f>
        <v>11.333333333333334</v>
      </c>
      <c r="O243" s="188" t="s">
        <v>687</v>
      </c>
      <c r="P243" s="189" t="s">
        <v>692</v>
      </c>
      <c r="Q243" s="188"/>
      <c r="R243" s="190"/>
      <c r="S243" s="191"/>
      <c r="T243" s="188" t="s">
        <v>693</v>
      </c>
      <c r="U243" s="189" t="s">
        <v>711</v>
      </c>
      <c r="V243" s="144">
        <f>SUM(Obsterlös!J59,Obsterlös!K59)*(1+3%)^18</f>
        <v>1588.3700461368296</v>
      </c>
    </row>
    <row r="244" spans="1:22" s="371" customFormat="1" ht="78.75" customHeight="1" x14ac:dyDescent="0.25">
      <c r="A244" s="456">
        <v>18</v>
      </c>
      <c r="B244" s="322"/>
      <c r="C244" s="322"/>
      <c r="D244" s="322"/>
      <c r="E244" s="323"/>
      <c r="F244" s="324"/>
      <c r="G244" s="113" t="s">
        <v>680</v>
      </c>
      <c r="H244" s="184" t="s">
        <v>683</v>
      </c>
      <c r="I244" s="185">
        <v>2043</v>
      </c>
      <c r="J244" s="278">
        <f>Obsterlös!Q54</f>
        <v>306</v>
      </c>
      <c r="K244" s="186">
        <v>1</v>
      </c>
      <c r="L244" s="186">
        <v>2</v>
      </c>
      <c r="M244" s="187">
        <f t="shared" si="159"/>
        <v>5.0999999999999996</v>
      </c>
      <c r="N244" s="187">
        <f t="shared" si="160"/>
        <v>10.199999999999999</v>
      </c>
      <c r="O244" s="188" t="s">
        <v>687</v>
      </c>
      <c r="P244" s="189" t="s">
        <v>692</v>
      </c>
      <c r="Q244" s="188"/>
      <c r="R244" s="190"/>
      <c r="S244" s="191"/>
      <c r="T244" s="188" t="s">
        <v>693</v>
      </c>
      <c r="U244" s="189" t="s">
        <v>711</v>
      </c>
      <c r="V244" s="144">
        <f>SUM(Obsterlös!J60,Obsterlös!K60)*(1+3%)^18</f>
        <v>1788.0654442202706</v>
      </c>
    </row>
    <row r="245" spans="1:22" s="371" customFormat="1" ht="78.75" customHeight="1" x14ac:dyDescent="0.25">
      <c r="A245" s="456">
        <v>18</v>
      </c>
      <c r="B245" s="322"/>
      <c r="C245" s="322"/>
      <c r="D245" s="322"/>
      <c r="E245" s="323"/>
      <c r="F245" s="324"/>
      <c r="G245" s="113" t="s">
        <v>681</v>
      </c>
      <c r="H245" s="184" t="s">
        <v>683</v>
      </c>
      <c r="I245" s="185">
        <v>2043</v>
      </c>
      <c r="J245" s="278">
        <f>Obsterlös!Q55</f>
        <v>104</v>
      </c>
      <c r="K245" s="186">
        <v>1</v>
      </c>
      <c r="L245" s="186">
        <v>2</v>
      </c>
      <c r="M245" s="187">
        <f t="shared" si="159"/>
        <v>1.7333333333333334</v>
      </c>
      <c r="N245" s="187">
        <f t="shared" si="160"/>
        <v>3.4666666666666668</v>
      </c>
      <c r="O245" s="188" t="s">
        <v>687</v>
      </c>
      <c r="P245" s="189" t="s">
        <v>692</v>
      </c>
      <c r="Q245" s="188"/>
      <c r="R245" s="190"/>
      <c r="S245" s="191"/>
      <c r="T245" s="188" t="s">
        <v>690</v>
      </c>
      <c r="U245" s="189" t="s">
        <v>711</v>
      </c>
      <c r="V245" s="144">
        <f>Obsterlös!J64*(1+3%)^18</f>
        <v>1774.8886123262735</v>
      </c>
    </row>
    <row r="246" spans="1:22" s="371" customFormat="1" ht="78.75" customHeight="1" x14ac:dyDescent="0.25">
      <c r="A246" s="456">
        <v>18</v>
      </c>
      <c r="B246" s="322"/>
      <c r="C246" s="322"/>
      <c r="D246" s="322"/>
      <c r="E246" s="323"/>
      <c r="F246" s="324"/>
      <c r="G246" s="113" t="s">
        <v>3</v>
      </c>
      <c r="H246" s="184" t="s">
        <v>779</v>
      </c>
      <c r="I246" s="185">
        <v>2043</v>
      </c>
      <c r="J246" s="278">
        <f>SUM(J243:J245)*0.05</f>
        <v>37.5</v>
      </c>
      <c r="K246" s="186">
        <v>1</v>
      </c>
      <c r="L246" s="186">
        <v>2</v>
      </c>
      <c r="M246" s="187">
        <f t="shared" ref="M246:M247" si="161">J246*K246/60</f>
        <v>0.625</v>
      </c>
      <c r="N246" s="187">
        <f t="shared" ref="N246:N247" si="162">J246*L246/60</f>
        <v>1.25</v>
      </c>
      <c r="O246" s="188" t="s">
        <v>687</v>
      </c>
      <c r="P246" s="189" t="s">
        <v>717</v>
      </c>
      <c r="Q246" s="188" t="s">
        <v>423</v>
      </c>
      <c r="R246" s="190" t="s">
        <v>716</v>
      </c>
      <c r="S246" s="191">
        <f>M246*17</f>
        <v>10.625</v>
      </c>
      <c r="T246" s="188"/>
      <c r="U246" s="189" t="s">
        <v>469</v>
      </c>
      <c r="V246" s="144"/>
    </row>
    <row r="247" spans="1:22" s="371" customFormat="1" ht="151.5" customHeight="1" x14ac:dyDescent="0.25">
      <c r="A247" s="456">
        <v>18</v>
      </c>
      <c r="B247" s="322"/>
      <c r="C247" s="322"/>
      <c r="D247" s="322"/>
      <c r="E247" s="323"/>
      <c r="F247" s="324"/>
      <c r="G247" s="113" t="s">
        <v>727</v>
      </c>
      <c r="H247" s="184" t="s">
        <v>728</v>
      </c>
      <c r="I247" s="185">
        <v>2043</v>
      </c>
      <c r="J247" s="278">
        <f>SUM(Obsterlös!I48:I49)*0.2*0.5/5*1.5*4</f>
        <v>273.60000000000002</v>
      </c>
      <c r="K247" s="186">
        <v>0</v>
      </c>
      <c r="L247" s="186">
        <v>1</v>
      </c>
      <c r="M247" s="187">
        <f t="shared" si="161"/>
        <v>0</v>
      </c>
      <c r="N247" s="187">
        <f t="shared" si="162"/>
        <v>4.5600000000000005</v>
      </c>
      <c r="O247" s="188" t="s">
        <v>729</v>
      </c>
      <c r="P247" s="189"/>
      <c r="Q247" s="188"/>
      <c r="R247" s="312"/>
      <c r="S247" s="191"/>
      <c r="T247" s="188" t="s">
        <v>770</v>
      </c>
      <c r="U247" s="189" t="s">
        <v>469</v>
      </c>
      <c r="V247" s="144"/>
    </row>
    <row r="248" spans="1:22" s="371" customFormat="1" ht="103.5" customHeight="1" thickBot="1" x14ac:dyDescent="0.3">
      <c r="A248" s="456">
        <v>18</v>
      </c>
      <c r="B248" s="322"/>
      <c r="C248" s="322"/>
      <c r="D248" s="322"/>
      <c r="E248" s="323"/>
      <c r="F248" s="324"/>
      <c r="G248" s="113" t="s">
        <v>752</v>
      </c>
      <c r="H248" s="184" t="s">
        <v>761</v>
      </c>
      <c r="I248" s="185">
        <v>2043</v>
      </c>
      <c r="J248" s="278">
        <f>Haselnusserlös!A38/2</f>
        <v>204.072</v>
      </c>
      <c r="K248" s="186">
        <v>1</v>
      </c>
      <c r="L248" s="186">
        <v>1</v>
      </c>
      <c r="M248" s="187">
        <f t="shared" ref="M248" si="163">J248*K248/60</f>
        <v>3.4012000000000002</v>
      </c>
      <c r="N248" s="187">
        <f t="shared" ref="N248" si="164">J248*L248/60</f>
        <v>3.4012000000000002</v>
      </c>
      <c r="O248" s="188" t="s">
        <v>760</v>
      </c>
      <c r="P248" s="279" t="s">
        <v>754</v>
      </c>
      <c r="Q248" s="315" t="s">
        <v>762</v>
      </c>
      <c r="R248" s="190" t="s">
        <v>763</v>
      </c>
      <c r="S248" s="191"/>
      <c r="T248" s="316" t="s">
        <v>764</v>
      </c>
      <c r="U248" s="316" t="s">
        <v>469</v>
      </c>
      <c r="V248" s="144">
        <f>Haselnusserlös!A31*(1+3%)^18</f>
        <v>2316.1261311556636</v>
      </c>
    </row>
    <row r="249" spans="1:22" s="78" customFormat="1" ht="36" customHeight="1" thickBot="1" x14ac:dyDescent="0.3">
      <c r="A249" s="87">
        <v>18</v>
      </c>
      <c r="B249" s="98">
        <f>(SUM(M239:M248)*D7)*(1+2%)^18</f>
        <v>684.23907060234944</v>
      </c>
      <c r="C249" s="98">
        <f>(SUM(N239:N248)*D8)*(1+2%)^18</f>
        <v>679.18205054863131</v>
      </c>
      <c r="D249" s="88">
        <f>SUM(S239:S248)</f>
        <v>1483.5039428130312</v>
      </c>
      <c r="E249" s="99">
        <f>SUM(B249:D249)</f>
        <v>2846.9250639640122</v>
      </c>
      <c r="F249" s="123">
        <f>SUM(V239:V248)</f>
        <v>7490.3309341821014</v>
      </c>
      <c r="G249" s="174"/>
      <c r="H249" s="73"/>
      <c r="I249" s="175"/>
      <c r="J249" s="74"/>
      <c r="K249" s="75"/>
      <c r="L249" s="75"/>
      <c r="M249" s="75"/>
      <c r="N249" s="75"/>
      <c r="O249" s="76"/>
      <c r="P249" s="176"/>
      <c r="Q249" s="177"/>
      <c r="R249" s="178"/>
      <c r="S249" s="179"/>
      <c r="T249" s="77"/>
      <c r="U249" s="180"/>
      <c r="V249" s="144"/>
    </row>
    <row r="250" spans="1:22" s="371" customFormat="1" ht="131.25" customHeight="1" x14ac:dyDescent="0.25">
      <c r="A250" s="456">
        <v>19</v>
      </c>
      <c r="B250" s="322"/>
      <c r="C250" s="322"/>
      <c r="D250" s="322"/>
      <c r="E250" s="323"/>
      <c r="F250" s="324"/>
      <c r="G250" s="200" t="s">
        <v>608</v>
      </c>
      <c r="H250" s="202" t="s">
        <v>607</v>
      </c>
      <c r="I250" s="171">
        <v>2044</v>
      </c>
      <c r="J250" s="198">
        <v>30</v>
      </c>
      <c r="K250" s="109">
        <v>1</v>
      </c>
      <c r="L250" s="182"/>
      <c r="M250" s="169">
        <f>J250*K250/60</f>
        <v>0.5</v>
      </c>
      <c r="N250" s="169">
        <f>J250*L250/60</f>
        <v>0</v>
      </c>
      <c r="O250" s="79" t="s">
        <v>627</v>
      </c>
      <c r="P250" s="110" t="s">
        <v>605</v>
      </c>
      <c r="Q250" s="101" t="s">
        <v>604</v>
      </c>
      <c r="R250" s="102"/>
      <c r="S250" s="103"/>
      <c r="T250" s="104" t="s">
        <v>611</v>
      </c>
      <c r="U250" s="72" t="s">
        <v>464</v>
      </c>
      <c r="V250" s="145"/>
    </row>
    <row r="251" spans="1:22" s="371" customFormat="1" ht="145.5" customHeight="1" x14ac:dyDescent="0.25">
      <c r="A251" s="456">
        <v>19</v>
      </c>
      <c r="B251" s="322"/>
      <c r="C251" s="322"/>
      <c r="D251" s="322"/>
      <c r="E251" s="323"/>
      <c r="F251" s="324"/>
      <c r="G251" s="201" t="s">
        <v>609</v>
      </c>
      <c r="H251" s="202" t="s">
        <v>606</v>
      </c>
      <c r="I251" s="171">
        <v>2044</v>
      </c>
      <c r="J251" s="199">
        <v>30</v>
      </c>
      <c r="K251" s="109">
        <v>1</v>
      </c>
      <c r="L251" s="182"/>
      <c r="M251" s="169">
        <f t="shared" ref="M251:M252" si="165">J251*K251/60</f>
        <v>0.5</v>
      </c>
      <c r="N251" s="169">
        <f t="shared" ref="N251:N252" si="166">J251*L251/60</f>
        <v>0</v>
      </c>
      <c r="O251" s="79" t="s">
        <v>627</v>
      </c>
      <c r="P251" s="110" t="s">
        <v>605</v>
      </c>
      <c r="Q251" s="172" t="s">
        <v>604</v>
      </c>
      <c r="R251" s="109"/>
      <c r="S251" s="173"/>
      <c r="T251" s="111" t="s">
        <v>611</v>
      </c>
      <c r="U251" s="72" t="s">
        <v>464</v>
      </c>
      <c r="V251" s="144"/>
    </row>
    <row r="252" spans="1:22" s="371" customFormat="1" ht="78" customHeight="1" x14ac:dyDescent="0.25">
      <c r="A252" s="456">
        <v>19</v>
      </c>
      <c r="B252" s="322"/>
      <c r="C252" s="322"/>
      <c r="D252" s="322"/>
      <c r="E252" s="323"/>
      <c r="F252" s="324"/>
      <c r="G252" s="201" t="s">
        <v>621</v>
      </c>
      <c r="H252" s="202" t="s">
        <v>622</v>
      </c>
      <c r="I252" s="171">
        <v>2044</v>
      </c>
      <c r="J252" s="105">
        <v>15</v>
      </c>
      <c r="K252" s="106">
        <v>1</v>
      </c>
      <c r="L252" s="182"/>
      <c r="M252" s="169">
        <f t="shared" si="165"/>
        <v>0.25</v>
      </c>
      <c r="N252" s="169">
        <f t="shared" si="166"/>
        <v>0</v>
      </c>
      <c r="O252" s="79" t="s">
        <v>623</v>
      </c>
      <c r="P252" s="170"/>
      <c r="Q252" s="172" t="s">
        <v>624</v>
      </c>
      <c r="R252" s="109" t="s">
        <v>625</v>
      </c>
      <c r="S252" s="173">
        <f>((46*20+36*5)/60*56.25)*(1+2%)^19</f>
        <v>1502.3365216692919</v>
      </c>
      <c r="T252" s="111" t="s">
        <v>766</v>
      </c>
      <c r="U252" s="170" t="s">
        <v>626</v>
      </c>
      <c r="V252" s="144"/>
    </row>
    <row r="253" spans="1:22" s="371" customFormat="1" ht="78.75" customHeight="1" x14ac:dyDescent="0.25">
      <c r="A253" s="456">
        <v>19</v>
      </c>
      <c r="B253" s="322"/>
      <c r="C253" s="322"/>
      <c r="D253" s="322"/>
      <c r="E253" s="323"/>
      <c r="F253" s="324"/>
      <c r="G253" s="113" t="s">
        <v>430</v>
      </c>
      <c r="H253" s="184" t="s">
        <v>470</v>
      </c>
      <c r="I253" s="185">
        <v>2044</v>
      </c>
      <c r="J253" s="112">
        <f>30*8</f>
        <v>240</v>
      </c>
      <c r="K253" s="186">
        <v>1</v>
      </c>
      <c r="L253" s="186"/>
      <c r="M253" s="187">
        <f>J253*K253/60</f>
        <v>4</v>
      </c>
      <c r="N253" s="187">
        <f>J253*L253/60</f>
        <v>0</v>
      </c>
      <c r="O253" s="188" t="s">
        <v>782</v>
      </c>
      <c r="P253" s="189" t="s">
        <v>472</v>
      </c>
      <c r="Q253" s="188"/>
      <c r="R253" s="190"/>
      <c r="S253" s="191"/>
      <c r="T253" s="188" t="s">
        <v>471</v>
      </c>
      <c r="U253" s="192" t="s">
        <v>464</v>
      </c>
      <c r="V253" s="144">
        <f>Futterlauberlös!A23*(1+3%)^19</f>
        <v>23.567121353356228</v>
      </c>
    </row>
    <row r="254" spans="1:22" s="371" customFormat="1" ht="78.75" customHeight="1" x14ac:dyDescent="0.25">
      <c r="A254" s="456">
        <v>19</v>
      </c>
      <c r="B254" s="322"/>
      <c r="C254" s="322"/>
      <c r="D254" s="322"/>
      <c r="E254" s="323"/>
      <c r="F254" s="324"/>
      <c r="G254" s="113" t="s">
        <v>679</v>
      </c>
      <c r="H254" s="184" t="s">
        <v>683</v>
      </c>
      <c r="I254" s="185">
        <v>2044</v>
      </c>
      <c r="J254" s="278">
        <f>Obsterlös!Q53</f>
        <v>340</v>
      </c>
      <c r="K254" s="186">
        <v>1</v>
      </c>
      <c r="L254" s="186">
        <v>2</v>
      </c>
      <c r="M254" s="187">
        <f t="shared" ref="M254:M256" si="167">J254*K254/60</f>
        <v>5.666666666666667</v>
      </c>
      <c r="N254" s="187">
        <f t="shared" ref="N254:N256" si="168">J254*L254/60</f>
        <v>11.333333333333334</v>
      </c>
      <c r="O254" s="188" t="s">
        <v>687</v>
      </c>
      <c r="P254" s="189" t="s">
        <v>692</v>
      </c>
      <c r="Q254" s="188"/>
      <c r="R254" s="190"/>
      <c r="S254" s="191"/>
      <c r="T254" s="188" t="s">
        <v>693</v>
      </c>
      <c r="U254" s="189" t="s">
        <v>711</v>
      </c>
      <c r="V254" s="144">
        <f>SUM(Obsterlös!J59,Obsterlös!K59)*(1+3%)^19</f>
        <v>1636.0211475209346</v>
      </c>
    </row>
    <row r="255" spans="1:22" s="371" customFormat="1" ht="78.75" customHeight="1" x14ac:dyDescent="0.25">
      <c r="A255" s="456">
        <v>19</v>
      </c>
      <c r="B255" s="322"/>
      <c r="C255" s="322"/>
      <c r="D255" s="322"/>
      <c r="E255" s="323"/>
      <c r="F255" s="324"/>
      <c r="G255" s="113" t="s">
        <v>680</v>
      </c>
      <c r="H255" s="184" t="s">
        <v>683</v>
      </c>
      <c r="I255" s="185">
        <v>2044</v>
      </c>
      <c r="J255" s="278">
        <f>Obsterlös!Q54</f>
        <v>306</v>
      </c>
      <c r="K255" s="186">
        <v>1</v>
      </c>
      <c r="L255" s="186">
        <v>2</v>
      </c>
      <c r="M255" s="187">
        <f t="shared" si="167"/>
        <v>5.0999999999999996</v>
      </c>
      <c r="N255" s="187">
        <f t="shared" si="168"/>
        <v>10.199999999999999</v>
      </c>
      <c r="O255" s="188" t="s">
        <v>687</v>
      </c>
      <c r="P255" s="189" t="s">
        <v>692</v>
      </c>
      <c r="Q255" s="188"/>
      <c r="R255" s="190"/>
      <c r="S255" s="191"/>
      <c r="T255" s="188" t="s">
        <v>693</v>
      </c>
      <c r="U255" s="189" t="s">
        <v>711</v>
      </c>
      <c r="V255" s="144">
        <f>SUM(Obsterlös!J60,Obsterlös!K60)*(1+3%)^19</f>
        <v>1841.7074075468788</v>
      </c>
    </row>
    <row r="256" spans="1:22" s="371" customFormat="1" ht="78.75" customHeight="1" x14ac:dyDescent="0.25">
      <c r="A256" s="456">
        <v>19</v>
      </c>
      <c r="B256" s="322"/>
      <c r="C256" s="322"/>
      <c r="D256" s="322"/>
      <c r="E256" s="323"/>
      <c r="F256" s="324"/>
      <c r="G256" s="113" t="s">
        <v>681</v>
      </c>
      <c r="H256" s="184" t="s">
        <v>683</v>
      </c>
      <c r="I256" s="185">
        <v>2044</v>
      </c>
      <c r="J256" s="278">
        <f>Obsterlös!Q55</f>
        <v>104</v>
      </c>
      <c r="K256" s="186">
        <v>1</v>
      </c>
      <c r="L256" s="186">
        <v>2</v>
      </c>
      <c r="M256" s="187">
        <f t="shared" si="167"/>
        <v>1.7333333333333334</v>
      </c>
      <c r="N256" s="187">
        <f t="shared" si="168"/>
        <v>3.4666666666666668</v>
      </c>
      <c r="O256" s="188" t="s">
        <v>687</v>
      </c>
      <c r="P256" s="189" t="s">
        <v>692</v>
      </c>
      <c r="Q256" s="188"/>
      <c r="R256" s="190"/>
      <c r="S256" s="191"/>
      <c r="T256" s="188" t="s">
        <v>690</v>
      </c>
      <c r="U256" s="189" t="s">
        <v>711</v>
      </c>
      <c r="V256" s="144">
        <f>Obsterlös!J64*(1+3%)^19</f>
        <v>1828.1352706960615</v>
      </c>
    </row>
    <row r="257" spans="1:22" s="371" customFormat="1" ht="78.75" customHeight="1" x14ac:dyDescent="0.25">
      <c r="A257" s="456">
        <v>19</v>
      </c>
      <c r="B257" s="322"/>
      <c r="C257" s="322"/>
      <c r="D257" s="322"/>
      <c r="E257" s="323"/>
      <c r="F257" s="324"/>
      <c r="G257" s="113" t="s">
        <v>3</v>
      </c>
      <c r="H257" s="184" t="s">
        <v>779</v>
      </c>
      <c r="I257" s="185">
        <v>2044</v>
      </c>
      <c r="J257" s="278">
        <f>SUM(J254:J256)*0.05</f>
        <v>37.5</v>
      </c>
      <c r="K257" s="186">
        <v>1</v>
      </c>
      <c r="L257" s="186">
        <v>2</v>
      </c>
      <c r="M257" s="187">
        <f t="shared" ref="M257:M258" si="169">J257*K257/60</f>
        <v>0.625</v>
      </c>
      <c r="N257" s="187">
        <f t="shared" ref="N257:N258" si="170">J257*L257/60</f>
        <v>1.25</v>
      </c>
      <c r="O257" s="188" t="s">
        <v>687</v>
      </c>
      <c r="P257" s="189" t="s">
        <v>717</v>
      </c>
      <c r="Q257" s="188" t="s">
        <v>423</v>
      </c>
      <c r="R257" s="190" t="s">
        <v>716</v>
      </c>
      <c r="S257" s="191">
        <f>M257*17</f>
        <v>10.625</v>
      </c>
      <c r="T257" s="188"/>
      <c r="U257" s="189" t="s">
        <v>469</v>
      </c>
      <c r="V257" s="144"/>
    </row>
    <row r="258" spans="1:22" s="371" customFormat="1" ht="161.25" customHeight="1" x14ac:dyDescent="0.25">
      <c r="A258" s="456">
        <v>19</v>
      </c>
      <c r="B258" s="322"/>
      <c r="C258" s="322"/>
      <c r="D258" s="322"/>
      <c r="E258" s="323"/>
      <c r="F258" s="324"/>
      <c r="G258" s="113" t="s">
        <v>727</v>
      </c>
      <c r="H258" s="184" t="s">
        <v>728</v>
      </c>
      <c r="I258" s="185">
        <v>2044</v>
      </c>
      <c r="J258" s="278">
        <f>SUM(Obsterlös!I48:I49)*0.2*0.5/5*1.5*4</f>
        <v>273.60000000000002</v>
      </c>
      <c r="K258" s="186">
        <v>0</v>
      </c>
      <c r="L258" s="186">
        <v>1</v>
      </c>
      <c r="M258" s="187">
        <f t="shared" si="169"/>
        <v>0</v>
      </c>
      <c r="N258" s="187">
        <f t="shared" si="170"/>
        <v>4.5600000000000005</v>
      </c>
      <c r="O258" s="188" t="s">
        <v>729</v>
      </c>
      <c r="P258" s="189"/>
      <c r="Q258" s="188"/>
      <c r="R258" s="312"/>
      <c r="S258" s="191"/>
      <c r="T258" s="188" t="s">
        <v>770</v>
      </c>
      <c r="U258" s="189" t="s">
        <v>469</v>
      </c>
      <c r="V258" s="144"/>
    </row>
    <row r="259" spans="1:22" s="371" customFormat="1" ht="96" customHeight="1" thickBot="1" x14ac:dyDescent="0.3">
      <c r="A259" s="456">
        <v>19</v>
      </c>
      <c r="B259" s="322"/>
      <c r="C259" s="322"/>
      <c r="D259" s="322"/>
      <c r="E259" s="323"/>
      <c r="F259" s="324"/>
      <c r="G259" s="113" t="s">
        <v>752</v>
      </c>
      <c r="H259" s="184" t="s">
        <v>761</v>
      </c>
      <c r="I259" s="185">
        <v>2044</v>
      </c>
      <c r="J259" s="278">
        <f>Haselnusserlös!A38/2</f>
        <v>204.072</v>
      </c>
      <c r="K259" s="186">
        <v>1</v>
      </c>
      <c r="L259" s="186">
        <v>1</v>
      </c>
      <c r="M259" s="187">
        <f t="shared" ref="M259" si="171">J259*K259/60</f>
        <v>3.4012000000000002</v>
      </c>
      <c r="N259" s="187">
        <f t="shared" ref="N259" si="172">J259*L259/60</f>
        <v>3.4012000000000002</v>
      </c>
      <c r="O259" s="188" t="s">
        <v>760</v>
      </c>
      <c r="P259" s="279" t="s">
        <v>754</v>
      </c>
      <c r="Q259" s="315" t="s">
        <v>762</v>
      </c>
      <c r="R259" s="190" t="s">
        <v>763</v>
      </c>
      <c r="S259" s="191"/>
      <c r="T259" s="316" t="s">
        <v>764</v>
      </c>
      <c r="U259" s="316" t="s">
        <v>469</v>
      </c>
      <c r="V259" s="144">
        <f>Haselnusserlös!A31*(1+3%)^19</f>
        <v>2385.6099150903333</v>
      </c>
    </row>
    <row r="260" spans="1:22" s="78" customFormat="1" ht="36" customHeight="1" thickBot="1" x14ac:dyDescent="0.3">
      <c r="A260" s="87">
        <v>19</v>
      </c>
      <c r="B260" s="98">
        <f>(SUM(M250:M259)*D7)*(1+2%)^19</f>
        <v>697.9238520143964</v>
      </c>
      <c r="C260" s="98">
        <f>(SUM(N250:N259)*D8)*(1+2%)^19</f>
        <v>692.76569155960385</v>
      </c>
      <c r="D260" s="88">
        <f>SUM(S250:S259)</f>
        <v>1512.9615216692919</v>
      </c>
      <c r="E260" s="99">
        <f>SUM(B260:D260)</f>
        <v>2903.6510652432921</v>
      </c>
      <c r="F260" s="123">
        <f>SUM(V250:V259)</f>
        <v>7715.0408622075647</v>
      </c>
      <c r="G260" s="174"/>
      <c r="H260" s="73"/>
      <c r="I260" s="175"/>
      <c r="J260" s="74"/>
      <c r="K260" s="75"/>
      <c r="L260" s="75"/>
      <c r="M260" s="75"/>
      <c r="N260" s="75"/>
      <c r="O260" s="76"/>
      <c r="P260" s="176"/>
      <c r="Q260" s="177"/>
      <c r="R260" s="178"/>
      <c r="S260" s="179"/>
      <c r="T260" s="77"/>
      <c r="U260" s="180"/>
      <c r="V260" s="144"/>
    </row>
    <row r="261" spans="1:22" s="371" customFormat="1" ht="116.25" customHeight="1" x14ac:dyDescent="0.25">
      <c r="A261" s="456">
        <v>20</v>
      </c>
      <c r="B261" s="322"/>
      <c r="C261" s="322"/>
      <c r="D261" s="322"/>
      <c r="E261" s="323"/>
      <c r="F261" s="324"/>
      <c r="G261" s="200" t="s">
        <v>608</v>
      </c>
      <c r="H261" s="202" t="s">
        <v>607</v>
      </c>
      <c r="I261" s="171">
        <v>2045</v>
      </c>
      <c r="J261" s="198">
        <v>30</v>
      </c>
      <c r="K261" s="109">
        <v>1</v>
      </c>
      <c r="L261" s="182"/>
      <c r="M261" s="169">
        <f>J261*K261/60</f>
        <v>0.5</v>
      </c>
      <c r="N261" s="169">
        <f>J261*L261/60</f>
        <v>0</v>
      </c>
      <c r="O261" s="79" t="s">
        <v>627</v>
      </c>
      <c r="P261" s="110" t="s">
        <v>605</v>
      </c>
      <c r="Q261" s="101" t="s">
        <v>604</v>
      </c>
      <c r="R261" s="102"/>
      <c r="S261" s="103"/>
      <c r="T261" s="104" t="s">
        <v>611</v>
      </c>
      <c r="U261" s="72" t="s">
        <v>464</v>
      </c>
      <c r="V261" s="145"/>
    </row>
    <row r="262" spans="1:22" s="371" customFormat="1" ht="129" customHeight="1" x14ac:dyDescent="0.25">
      <c r="A262" s="456">
        <v>20</v>
      </c>
      <c r="B262" s="322"/>
      <c r="C262" s="322"/>
      <c r="D262" s="322"/>
      <c r="E262" s="323"/>
      <c r="F262" s="324"/>
      <c r="G262" s="201" t="s">
        <v>609</v>
      </c>
      <c r="H262" s="202" t="s">
        <v>606</v>
      </c>
      <c r="I262" s="171">
        <v>2045</v>
      </c>
      <c r="J262" s="199">
        <v>30</v>
      </c>
      <c r="K262" s="109">
        <v>1</v>
      </c>
      <c r="L262" s="182"/>
      <c r="M262" s="169">
        <f t="shared" ref="M262:M263" si="173">J262*K262/60</f>
        <v>0.5</v>
      </c>
      <c r="N262" s="169">
        <f t="shared" ref="N262:N263" si="174">J262*L262/60</f>
        <v>0</v>
      </c>
      <c r="O262" s="79" t="s">
        <v>627</v>
      </c>
      <c r="P262" s="110" t="s">
        <v>605</v>
      </c>
      <c r="Q262" s="172" t="s">
        <v>604</v>
      </c>
      <c r="R262" s="109"/>
      <c r="S262" s="173"/>
      <c r="T262" s="111" t="s">
        <v>611</v>
      </c>
      <c r="U262" s="72" t="s">
        <v>464</v>
      </c>
      <c r="V262" s="144"/>
    </row>
    <row r="263" spans="1:22" s="371" customFormat="1" ht="75" customHeight="1" x14ac:dyDescent="0.25">
      <c r="A263" s="456">
        <v>20</v>
      </c>
      <c r="B263" s="322"/>
      <c r="C263" s="322"/>
      <c r="D263" s="322"/>
      <c r="E263" s="323"/>
      <c r="F263" s="324"/>
      <c r="G263" s="201" t="s">
        <v>621</v>
      </c>
      <c r="H263" s="202" t="s">
        <v>622</v>
      </c>
      <c r="I263" s="171">
        <v>2045</v>
      </c>
      <c r="J263" s="105">
        <v>15</v>
      </c>
      <c r="K263" s="106">
        <v>1</v>
      </c>
      <c r="L263" s="182"/>
      <c r="M263" s="169">
        <f t="shared" si="173"/>
        <v>0.25</v>
      </c>
      <c r="N263" s="169">
        <f t="shared" si="174"/>
        <v>0</v>
      </c>
      <c r="O263" s="79" t="s">
        <v>623</v>
      </c>
      <c r="P263" s="170"/>
      <c r="Q263" s="172" t="s">
        <v>624</v>
      </c>
      <c r="R263" s="109" t="s">
        <v>625</v>
      </c>
      <c r="S263" s="173">
        <f>((46*20+36*5)/60*56.25)*(1+2%)^20</f>
        <v>1532.3832521026777</v>
      </c>
      <c r="T263" s="111" t="s">
        <v>766</v>
      </c>
      <c r="U263" s="170" t="s">
        <v>626</v>
      </c>
      <c r="V263" s="144"/>
    </row>
    <row r="264" spans="1:22" s="371" customFormat="1" ht="105" customHeight="1" x14ac:dyDescent="0.25">
      <c r="A264" s="456">
        <v>20</v>
      </c>
      <c r="B264" s="322"/>
      <c r="C264" s="322"/>
      <c r="D264" s="322"/>
      <c r="E264" s="323"/>
      <c r="F264" s="324"/>
      <c r="G264" s="113" t="s">
        <v>430</v>
      </c>
      <c r="H264" s="184" t="s">
        <v>470</v>
      </c>
      <c r="I264" s="185">
        <v>2045</v>
      </c>
      <c r="J264" s="112">
        <f>30*8</f>
        <v>240</v>
      </c>
      <c r="K264" s="186">
        <v>1</v>
      </c>
      <c r="L264" s="186"/>
      <c r="M264" s="187">
        <f>J264*K264/60</f>
        <v>4</v>
      </c>
      <c r="N264" s="187">
        <f>J264*L264/60</f>
        <v>0</v>
      </c>
      <c r="O264" s="188" t="s">
        <v>782</v>
      </c>
      <c r="P264" s="189" t="s">
        <v>472</v>
      </c>
      <c r="Q264" s="188"/>
      <c r="R264" s="190"/>
      <c r="S264" s="191"/>
      <c r="T264" s="188" t="s">
        <v>471</v>
      </c>
      <c r="U264" s="192" t="s">
        <v>464</v>
      </c>
      <c r="V264" s="144">
        <f>Futterlauberlös!A23*(1+3%)^20</f>
        <v>24.274134993956913</v>
      </c>
    </row>
    <row r="265" spans="1:22" s="371" customFormat="1" ht="105" customHeight="1" x14ac:dyDescent="0.25">
      <c r="A265" s="456">
        <v>20</v>
      </c>
      <c r="B265" s="322"/>
      <c r="C265" s="322"/>
      <c r="D265" s="322"/>
      <c r="E265" s="323"/>
      <c r="F265" s="324"/>
      <c r="G265" s="113" t="s">
        <v>679</v>
      </c>
      <c r="H265" s="184" t="s">
        <v>683</v>
      </c>
      <c r="I265" s="185">
        <v>2045</v>
      </c>
      <c r="J265" s="278">
        <f>Obsterlös!Q53</f>
        <v>340</v>
      </c>
      <c r="K265" s="186">
        <v>1</v>
      </c>
      <c r="L265" s="186">
        <v>2</v>
      </c>
      <c r="M265" s="187">
        <f t="shared" ref="M265:M266" si="175">J265*K265/60</f>
        <v>5.666666666666667</v>
      </c>
      <c r="N265" s="187">
        <f t="shared" ref="N265:N266" si="176">J265*L265/60</f>
        <v>11.333333333333334</v>
      </c>
      <c r="O265" s="188" t="s">
        <v>687</v>
      </c>
      <c r="P265" s="189" t="s">
        <v>692</v>
      </c>
      <c r="Q265" s="188"/>
      <c r="R265" s="190"/>
      <c r="S265" s="191"/>
      <c r="T265" s="188" t="s">
        <v>693</v>
      </c>
      <c r="U265" s="189" t="s">
        <v>711</v>
      </c>
      <c r="V265" s="144">
        <f>SUM(Obsterlös!J59,Obsterlös!K59)*(1+3%)^20</f>
        <v>1685.1017819465626</v>
      </c>
    </row>
    <row r="266" spans="1:22" s="371" customFormat="1" ht="105" customHeight="1" x14ac:dyDescent="0.25">
      <c r="A266" s="456">
        <v>20</v>
      </c>
      <c r="B266" s="322"/>
      <c r="C266" s="322"/>
      <c r="D266" s="322"/>
      <c r="E266" s="323"/>
      <c r="F266" s="324"/>
      <c r="G266" s="113" t="s">
        <v>680</v>
      </c>
      <c r="H266" s="184" t="s">
        <v>683</v>
      </c>
      <c r="I266" s="185">
        <v>2045</v>
      </c>
      <c r="J266" s="278">
        <f>Obsterlös!Q54</f>
        <v>306</v>
      </c>
      <c r="K266" s="186">
        <v>1</v>
      </c>
      <c r="L266" s="186">
        <v>2</v>
      </c>
      <c r="M266" s="187">
        <f t="shared" si="175"/>
        <v>5.0999999999999996</v>
      </c>
      <c r="N266" s="187">
        <f t="shared" si="176"/>
        <v>10.199999999999999</v>
      </c>
      <c r="O266" s="188" t="s">
        <v>687</v>
      </c>
      <c r="P266" s="189" t="s">
        <v>692</v>
      </c>
      <c r="Q266" s="188"/>
      <c r="R266" s="190"/>
      <c r="S266" s="191"/>
      <c r="T266" s="188" t="s">
        <v>693</v>
      </c>
      <c r="U266" s="189" t="s">
        <v>711</v>
      </c>
      <c r="V266" s="144">
        <f>SUM(Obsterlös!J60,Obsterlös!K60)*(1+3%)^20</f>
        <v>1896.9586297732851</v>
      </c>
    </row>
    <row r="267" spans="1:22" s="371" customFormat="1" ht="58.5" customHeight="1" x14ac:dyDescent="0.25">
      <c r="A267" s="456">
        <v>20</v>
      </c>
      <c r="B267" s="322"/>
      <c r="C267" s="322"/>
      <c r="D267" s="322"/>
      <c r="E267" s="323"/>
      <c r="F267" s="324"/>
      <c r="G267" s="113" t="s">
        <v>681</v>
      </c>
      <c r="H267" s="184" t="s">
        <v>683</v>
      </c>
      <c r="I267" s="185">
        <v>2045</v>
      </c>
      <c r="J267" s="278">
        <f>Obsterlös!Q55</f>
        <v>104</v>
      </c>
      <c r="K267" s="186">
        <v>1</v>
      </c>
      <c r="L267" s="186">
        <v>2</v>
      </c>
      <c r="M267" s="187">
        <f>J267*K267/60</f>
        <v>1.7333333333333334</v>
      </c>
      <c r="N267" s="187">
        <f>J267*L267/60</f>
        <v>3.4666666666666668</v>
      </c>
      <c r="O267" s="188" t="s">
        <v>687</v>
      </c>
      <c r="P267" s="189" t="s">
        <v>692</v>
      </c>
      <c r="Q267" s="188"/>
      <c r="R267" s="190"/>
      <c r="S267" s="191"/>
      <c r="T267" s="188" t="s">
        <v>690</v>
      </c>
      <c r="U267" s="189" t="s">
        <v>711</v>
      </c>
      <c r="V267" s="144">
        <f>Obsterlös!J64*(1+3%)^20</f>
        <v>1882.9793288169433</v>
      </c>
    </row>
    <row r="268" spans="1:22" s="371" customFormat="1" ht="58.5" customHeight="1" x14ac:dyDescent="0.25">
      <c r="A268" s="456">
        <v>20</v>
      </c>
      <c r="B268" s="322"/>
      <c r="C268" s="322"/>
      <c r="D268" s="322"/>
      <c r="E268" s="323"/>
      <c r="F268" s="324"/>
      <c r="G268" s="113" t="s">
        <v>3</v>
      </c>
      <c r="H268" s="184" t="s">
        <v>779</v>
      </c>
      <c r="I268" s="185">
        <v>2045</v>
      </c>
      <c r="J268" s="278">
        <f>SUM(J265:J267)*0.05</f>
        <v>37.5</v>
      </c>
      <c r="K268" s="186">
        <v>1</v>
      </c>
      <c r="L268" s="186">
        <v>2</v>
      </c>
      <c r="M268" s="187">
        <f>J268*K268/60</f>
        <v>0.625</v>
      </c>
      <c r="N268" s="187">
        <f>J268*L268/60</f>
        <v>1.25</v>
      </c>
      <c r="O268" s="188" t="s">
        <v>687</v>
      </c>
      <c r="P268" s="189" t="s">
        <v>717</v>
      </c>
      <c r="Q268" s="188" t="s">
        <v>423</v>
      </c>
      <c r="R268" s="190" t="s">
        <v>716</v>
      </c>
      <c r="S268" s="191">
        <f>M268*17</f>
        <v>10.625</v>
      </c>
      <c r="T268" s="188"/>
      <c r="U268" s="189" t="s">
        <v>469</v>
      </c>
      <c r="V268" s="144"/>
    </row>
    <row r="269" spans="1:22" s="371" customFormat="1" ht="132" customHeight="1" x14ac:dyDescent="0.25">
      <c r="A269" s="456">
        <v>20</v>
      </c>
      <c r="B269" s="322"/>
      <c r="C269" s="322"/>
      <c r="D269" s="322"/>
      <c r="E269" s="323"/>
      <c r="F269" s="324"/>
      <c r="G269" s="113" t="s">
        <v>727</v>
      </c>
      <c r="H269" s="184" t="s">
        <v>728</v>
      </c>
      <c r="I269" s="185">
        <v>2045</v>
      </c>
      <c r="J269" s="278">
        <f>SUM(Obsterlös!I48:I49)*0.2*0.5/5*1.5*4</f>
        <v>273.60000000000002</v>
      </c>
      <c r="K269" s="186">
        <v>0</v>
      </c>
      <c r="L269" s="186">
        <v>1</v>
      </c>
      <c r="M269" s="187">
        <f t="shared" ref="M269" si="177">J269*K269/60</f>
        <v>0</v>
      </c>
      <c r="N269" s="187">
        <f t="shared" ref="N269" si="178">J269*L269/60</f>
        <v>4.5600000000000005</v>
      </c>
      <c r="O269" s="188" t="s">
        <v>729</v>
      </c>
      <c r="P269" s="189"/>
      <c r="Q269" s="188"/>
      <c r="R269" s="312"/>
      <c r="S269" s="191"/>
      <c r="T269" s="188" t="s">
        <v>770</v>
      </c>
      <c r="U269" s="189" t="s">
        <v>469</v>
      </c>
      <c r="V269" s="144"/>
    </row>
    <row r="270" spans="1:22" s="371" customFormat="1" ht="99.75" customHeight="1" thickBot="1" x14ac:dyDescent="0.3">
      <c r="A270" s="456">
        <v>20</v>
      </c>
      <c r="B270" s="322"/>
      <c r="C270" s="322"/>
      <c r="D270" s="322"/>
      <c r="E270" s="323"/>
      <c r="F270" s="324"/>
      <c r="G270" s="113" t="s">
        <v>752</v>
      </c>
      <c r="H270" s="184" t="s">
        <v>761</v>
      </c>
      <c r="I270" s="185">
        <v>2045</v>
      </c>
      <c r="J270" s="278">
        <f>Haselnusserlös!A38/2</f>
        <v>204.072</v>
      </c>
      <c r="K270" s="186">
        <v>1</v>
      </c>
      <c r="L270" s="186">
        <v>1</v>
      </c>
      <c r="M270" s="187">
        <f t="shared" ref="M270" si="179">J270*K270/60</f>
        <v>3.4012000000000002</v>
      </c>
      <c r="N270" s="187">
        <f t="shared" ref="N270" si="180">J270*L270/60</f>
        <v>3.4012000000000002</v>
      </c>
      <c r="O270" s="188" t="s">
        <v>760</v>
      </c>
      <c r="P270" s="279" t="s">
        <v>754</v>
      </c>
      <c r="Q270" s="315" t="s">
        <v>762</v>
      </c>
      <c r="R270" s="190" t="s">
        <v>763</v>
      </c>
      <c r="S270" s="191"/>
      <c r="T270" s="316" t="s">
        <v>764</v>
      </c>
      <c r="U270" s="316" t="s">
        <v>469</v>
      </c>
      <c r="V270" s="144">
        <f>Haselnusserlös!A31*(1+3%)^20</f>
        <v>2457.1782125430432</v>
      </c>
    </row>
    <row r="271" spans="1:22" s="78" customFormat="1" ht="36" customHeight="1" thickBot="1" x14ac:dyDescent="0.3">
      <c r="A271" s="87">
        <v>20</v>
      </c>
      <c r="B271" s="98">
        <f>(SUM(M261:M270)*D7)*(1+2%)^20</f>
        <v>711.88232905468442</v>
      </c>
      <c r="C271" s="98">
        <f>(SUM(N261:N270)*D8)*(1+2%)^20</f>
        <v>706.62100539079609</v>
      </c>
      <c r="D271" s="88">
        <f>SUM(S261:S270)</f>
        <v>1543.0082521026777</v>
      </c>
      <c r="E271" s="99">
        <f>SUM(B271:D271)</f>
        <v>2961.5115865481584</v>
      </c>
      <c r="F271" s="123">
        <f>SUM(V261:V270)</f>
        <v>7946.4920880737918</v>
      </c>
      <c r="G271" s="174"/>
      <c r="H271" s="73"/>
      <c r="I271" s="175"/>
      <c r="J271" s="74"/>
      <c r="K271" s="75"/>
      <c r="L271" s="75"/>
      <c r="M271" s="75"/>
      <c r="N271" s="75"/>
      <c r="O271" s="76"/>
      <c r="P271" s="176"/>
      <c r="Q271" s="177"/>
      <c r="R271" s="178"/>
      <c r="S271" s="179"/>
      <c r="T271" s="77"/>
      <c r="U271" s="180"/>
      <c r="V271" s="144"/>
    </row>
    <row r="272" spans="1:22" s="371" customFormat="1" ht="119.25" customHeight="1" x14ac:dyDescent="0.25">
      <c r="A272" s="456">
        <v>21</v>
      </c>
      <c r="B272" s="322"/>
      <c r="C272" s="322"/>
      <c r="D272" s="322"/>
      <c r="E272" s="323"/>
      <c r="F272" s="324"/>
      <c r="G272" s="200" t="s">
        <v>608</v>
      </c>
      <c r="H272" s="202" t="s">
        <v>607</v>
      </c>
      <c r="I272" s="171">
        <v>2046</v>
      </c>
      <c r="J272" s="198">
        <v>30</v>
      </c>
      <c r="K272" s="109">
        <v>1</v>
      </c>
      <c r="L272" s="182"/>
      <c r="M272" s="169">
        <f>J272*K272/60</f>
        <v>0.5</v>
      </c>
      <c r="N272" s="169">
        <f>J272*L272/60</f>
        <v>0</v>
      </c>
      <c r="O272" s="79" t="s">
        <v>627</v>
      </c>
      <c r="P272" s="110" t="s">
        <v>605</v>
      </c>
      <c r="Q272" s="101" t="s">
        <v>604</v>
      </c>
      <c r="R272" s="102"/>
      <c r="S272" s="103"/>
      <c r="T272" s="104" t="s">
        <v>611</v>
      </c>
      <c r="U272" s="72" t="s">
        <v>464</v>
      </c>
      <c r="V272" s="145"/>
    </row>
    <row r="273" spans="1:22" s="371" customFormat="1" ht="114" customHeight="1" x14ac:dyDescent="0.25">
      <c r="A273" s="456">
        <v>21</v>
      </c>
      <c r="B273" s="322"/>
      <c r="C273" s="322"/>
      <c r="D273" s="322"/>
      <c r="E273" s="323"/>
      <c r="F273" s="324"/>
      <c r="G273" s="201" t="s">
        <v>609</v>
      </c>
      <c r="H273" s="202" t="s">
        <v>606</v>
      </c>
      <c r="I273" s="171">
        <v>2046</v>
      </c>
      <c r="J273" s="199">
        <v>30</v>
      </c>
      <c r="K273" s="109">
        <v>1</v>
      </c>
      <c r="L273" s="182"/>
      <c r="M273" s="169">
        <f t="shared" ref="M273:M274" si="181">J273*K273/60</f>
        <v>0.5</v>
      </c>
      <c r="N273" s="169">
        <f t="shared" ref="N273:N274" si="182">J273*L273/60</f>
        <v>0</v>
      </c>
      <c r="O273" s="79" t="s">
        <v>627</v>
      </c>
      <c r="P273" s="110" t="s">
        <v>605</v>
      </c>
      <c r="Q273" s="172" t="s">
        <v>604</v>
      </c>
      <c r="R273" s="109"/>
      <c r="S273" s="173"/>
      <c r="T273" s="111" t="s">
        <v>611</v>
      </c>
      <c r="U273" s="72" t="s">
        <v>464</v>
      </c>
      <c r="V273" s="144"/>
    </row>
    <row r="274" spans="1:22" s="371" customFormat="1" ht="81.75" customHeight="1" x14ac:dyDescent="0.25">
      <c r="A274" s="456">
        <v>21</v>
      </c>
      <c r="B274" s="322"/>
      <c r="C274" s="322"/>
      <c r="D274" s="322"/>
      <c r="E274" s="323"/>
      <c r="F274" s="324"/>
      <c r="G274" s="201" t="s">
        <v>621</v>
      </c>
      <c r="H274" s="202" t="s">
        <v>622</v>
      </c>
      <c r="I274" s="171">
        <v>2046</v>
      </c>
      <c r="J274" s="105">
        <v>15</v>
      </c>
      <c r="K274" s="106">
        <v>1</v>
      </c>
      <c r="L274" s="182"/>
      <c r="M274" s="169">
        <f t="shared" si="181"/>
        <v>0.25</v>
      </c>
      <c r="N274" s="169">
        <f t="shared" si="182"/>
        <v>0</v>
      </c>
      <c r="O274" s="79" t="s">
        <v>623</v>
      </c>
      <c r="P274" s="170"/>
      <c r="Q274" s="172" t="s">
        <v>624</v>
      </c>
      <c r="R274" s="109" t="s">
        <v>625</v>
      </c>
      <c r="S274" s="173">
        <f>((46*20+36*5)/60*56.25)*(1+2%)^21</f>
        <v>1563.0309171447313</v>
      </c>
      <c r="T274" s="111" t="s">
        <v>766</v>
      </c>
      <c r="U274" s="170" t="s">
        <v>626</v>
      </c>
      <c r="V274" s="144"/>
    </row>
    <row r="275" spans="1:22" s="371" customFormat="1" ht="82.5" customHeight="1" x14ac:dyDescent="0.25">
      <c r="A275" s="456">
        <v>21</v>
      </c>
      <c r="B275" s="322"/>
      <c r="C275" s="322"/>
      <c r="D275" s="322"/>
      <c r="E275" s="323"/>
      <c r="F275" s="324"/>
      <c r="G275" s="113" t="s">
        <v>430</v>
      </c>
      <c r="H275" s="184" t="s">
        <v>470</v>
      </c>
      <c r="I275" s="185">
        <v>2046</v>
      </c>
      <c r="J275" s="112">
        <f>30*8</f>
        <v>240</v>
      </c>
      <c r="K275" s="186">
        <v>1</v>
      </c>
      <c r="L275" s="186"/>
      <c r="M275" s="187">
        <f>J275*K275/60</f>
        <v>4</v>
      </c>
      <c r="N275" s="187">
        <f>J275*L275/60</f>
        <v>0</v>
      </c>
      <c r="O275" s="188" t="s">
        <v>782</v>
      </c>
      <c r="P275" s="189" t="s">
        <v>472</v>
      </c>
      <c r="Q275" s="188"/>
      <c r="R275" s="190"/>
      <c r="S275" s="191"/>
      <c r="T275" s="188" t="s">
        <v>471</v>
      </c>
      <c r="U275" s="192" t="s">
        <v>464</v>
      </c>
      <c r="V275" s="144">
        <f>Futterlauberlös!A23*(1+3%)^21</f>
        <v>25.002359043775616</v>
      </c>
    </row>
    <row r="276" spans="1:22" s="371" customFormat="1" ht="120" customHeight="1" x14ac:dyDescent="0.25">
      <c r="A276" s="456">
        <v>21</v>
      </c>
      <c r="B276" s="322"/>
      <c r="C276" s="322"/>
      <c r="D276" s="322"/>
      <c r="E276" s="323"/>
      <c r="F276" s="324"/>
      <c r="G276" s="113" t="s">
        <v>679</v>
      </c>
      <c r="H276" s="184" t="s">
        <v>706</v>
      </c>
      <c r="I276" s="185">
        <v>2046</v>
      </c>
      <c r="J276" s="278">
        <f>Obsterlös!T53</f>
        <v>253.33333333333334</v>
      </c>
      <c r="K276" s="186">
        <v>1</v>
      </c>
      <c r="L276" s="186">
        <v>2</v>
      </c>
      <c r="M276" s="187">
        <f t="shared" ref="M276:M278" si="183">J276*K276/60</f>
        <v>4.2222222222222223</v>
      </c>
      <c r="N276" s="187">
        <f t="shared" ref="N276:N278" si="184">J276*L276/60</f>
        <v>8.4444444444444446</v>
      </c>
      <c r="O276" s="188" t="s">
        <v>687</v>
      </c>
      <c r="P276" s="189" t="s">
        <v>710</v>
      </c>
      <c r="Q276" s="188" t="s">
        <v>707</v>
      </c>
      <c r="R276" s="309">
        <v>1</v>
      </c>
      <c r="S276" s="310">
        <f>2900*(1+3%)^20</f>
        <v>5237.7225805412982</v>
      </c>
      <c r="T276" s="188" t="s">
        <v>709</v>
      </c>
      <c r="U276" s="189" t="s">
        <v>711</v>
      </c>
      <c r="V276" s="144">
        <f>SUM(Obsterlös!L59,Obsterlös!M59)*(1+3%)^21</f>
        <v>6074.7919239173571</v>
      </c>
    </row>
    <row r="277" spans="1:22" s="371" customFormat="1" ht="82.5" customHeight="1" x14ac:dyDescent="0.25">
      <c r="A277" s="456">
        <v>21</v>
      </c>
      <c r="B277" s="322"/>
      <c r="C277" s="322"/>
      <c r="D277" s="322"/>
      <c r="E277" s="323"/>
      <c r="F277" s="324"/>
      <c r="G277" s="113" t="s">
        <v>680</v>
      </c>
      <c r="H277" s="184" t="s">
        <v>706</v>
      </c>
      <c r="I277" s="185">
        <v>2046</v>
      </c>
      <c r="J277" s="278">
        <f>Obsterlös!T54</f>
        <v>222.85714285714286</v>
      </c>
      <c r="K277" s="186">
        <v>1</v>
      </c>
      <c r="L277" s="186">
        <v>2</v>
      </c>
      <c r="M277" s="187">
        <f t="shared" si="183"/>
        <v>3.7142857142857144</v>
      </c>
      <c r="N277" s="187">
        <f t="shared" si="184"/>
        <v>7.4285714285714288</v>
      </c>
      <c r="O277" s="188" t="s">
        <v>687</v>
      </c>
      <c r="P277" s="189" t="s">
        <v>710</v>
      </c>
      <c r="Q277" s="188"/>
      <c r="R277" s="190"/>
      <c r="S277" s="191"/>
      <c r="T277" s="188" t="s">
        <v>708</v>
      </c>
      <c r="U277" s="189" t="s">
        <v>711</v>
      </c>
      <c r="V277" s="144">
        <f>SUM(Obsterlös!L60,Obsterlös!M60)*(1+3%)^21</f>
        <v>6512.8912955549431</v>
      </c>
    </row>
    <row r="278" spans="1:22" s="371" customFormat="1" ht="82.5" customHeight="1" x14ac:dyDescent="0.25">
      <c r="A278" s="456">
        <v>21</v>
      </c>
      <c r="B278" s="322"/>
      <c r="C278" s="322"/>
      <c r="D278" s="322"/>
      <c r="E278" s="323"/>
      <c r="F278" s="324"/>
      <c r="G278" s="113" t="s">
        <v>681</v>
      </c>
      <c r="H278" s="184" t="s">
        <v>705</v>
      </c>
      <c r="I278" s="185">
        <v>2046</v>
      </c>
      <c r="J278" s="278">
        <f>Obsterlös!T55</f>
        <v>229.33333333333334</v>
      </c>
      <c r="K278" s="186">
        <v>1</v>
      </c>
      <c r="L278" s="186">
        <v>2</v>
      </c>
      <c r="M278" s="187">
        <f t="shared" si="183"/>
        <v>3.8222222222222224</v>
      </c>
      <c r="N278" s="187">
        <f t="shared" si="184"/>
        <v>7.6444444444444448</v>
      </c>
      <c r="O278" s="188" t="s">
        <v>687</v>
      </c>
      <c r="P278" s="189" t="s">
        <v>692</v>
      </c>
      <c r="Q278" s="188"/>
      <c r="R278" s="190"/>
      <c r="S278" s="191"/>
      <c r="T278" s="188" t="s">
        <v>690</v>
      </c>
      <c r="U278" s="189" t="s">
        <v>711</v>
      </c>
      <c r="V278" s="144">
        <f>Obsterlös!L64*(1+3%)^21</f>
        <v>5333.538948873992</v>
      </c>
    </row>
    <row r="279" spans="1:22" s="371" customFormat="1" ht="82.5" customHeight="1" x14ac:dyDescent="0.25">
      <c r="A279" s="456">
        <v>21</v>
      </c>
      <c r="B279" s="322"/>
      <c r="C279" s="322"/>
      <c r="D279" s="322"/>
      <c r="E279" s="323"/>
      <c r="F279" s="324"/>
      <c r="G279" s="113" t="s">
        <v>3</v>
      </c>
      <c r="H279" s="184" t="s">
        <v>779</v>
      </c>
      <c r="I279" s="185">
        <v>2046</v>
      </c>
      <c r="J279" s="278">
        <f>SUM(J276:J278)*0.05</f>
        <v>35.276190476190479</v>
      </c>
      <c r="K279" s="186">
        <v>1</v>
      </c>
      <c r="L279" s="186">
        <v>2</v>
      </c>
      <c r="M279" s="187">
        <f t="shared" ref="M279" si="185">J279*K279/60</f>
        <v>0.58793650793650798</v>
      </c>
      <c r="N279" s="187">
        <f t="shared" ref="N279" si="186">J279*L279/60</f>
        <v>1.175873015873016</v>
      </c>
      <c r="O279" s="188" t="s">
        <v>687</v>
      </c>
      <c r="P279" s="189" t="s">
        <v>717</v>
      </c>
      <c r="Q279" s="188" t="s">
        <v>423</v>
      </c>
      <c r="R279" s="190" t="s">
        <v>716</v>
      </c>
      <c r="S279" s="191">
        <f>M279*17</f>
        <v>9.9949206349206356</v>
      </c>
      <c r="T279" s="188"/>
      <c r="U279" s="189" t="s">
        <v>469</v>
      </c>
      <c r="V279" s="144"/>
    </row>
    <row r="280" spans="1:22" s="371" customFormat="1" ht="82.5" customHeight="1" x14ac:dyDescent="0.25">
      <c r="A280" s="456">
        <v>21</v>
      </c>
      <c r="B280" s="322"/>
      <c r="C280" s="322"/>
      <c r="D280" s="322"/>
      <c r="E280" s="323"/>
      <c r="F280" s="324"/>
      <c r="G280" s="113"/>
      <c r="H280" s="184"/>
      <c r="I280" s="185">
        <v>2046</v>
      </c>
      <c r="J280" s="278"/>
      <c r="K280" s="186"/>
      <c r="L280" s="186"/>
      <c r="M280" s="187">
        <f t="shared" ref="M280:M281" si="187">J280*K280/60</f>
        <v>0</v>
      </c>
      <c r="N280" s="187">
        <f t="shared" ref="N280:N281" si="188">J280*L280/60</f>
        <v>0</v>
      </c>
      <c r="O280" s="188"/>
      <c r="P280" s="189"/>
      <c r="Q280" s="188" t="s">
        <v>714</v>
      </c>
      <c r="R280" s="312">
        <f>(SUM(Obsterlös!J48:J50)*0.2)/5</f>
        <v>329.6</v>
      </c>
      <c r="S280" s="191">
        <f>R280*12*(1+3%)^11</f>
        <v>5474.9218054893272</v>
      </c>
      <c r="T280" s="188" t="s">
        <v>780</v>
      </c>
      <c r="U280" s="189" t="s">
        <v>469</v>
      </c>
      <c r="V280" s="144"/>
    </row>
    <row r="281" spans="1:22" s="371" customFormat="1" ht="138.75" customHeight="1" x14ac:dyDescent="0.25">
      <c r="A281" s="456">
        <v>21</v>
      </c>
      <c r="B281" s="322"/>
      <c r="C281" s="322"/>
      <c r="D281" s="322"/>
      <c r="E281" s="323"/>
      <c r="F281" s="324"/>
      <c r="G281" s="113" t="s">
        <v>727</v>
      </c>
      <c r="H281" s="184" t="s">
        <v>728</v>
      </c>
      <c r="I281" s="185">
        <v>2046</v>
      </c>
      <c r="J281" s="278">
        <f>SUM(Obsterlös!J48:J49)*0.2*0.5/5*1.5*4</f>
        <v>936</v>
      </c>
      <c r="K281" s="186">
        <v>0</v>
      </c>
      <c r="L281" s="186">
        <v>1</v>
      </c>
      <c r="M281" s="187">
        <f t="shared" si="187"/>
        <v>0</v>
      </c>
      <c r="N281" s="187">
        <f t="shared" si="188"/>
        <v>15.6</v>
      </c>
      <c r="O281" s="188" t="s">
        <v>729</v>
      </c>
      <c r="P281" s="189"/>
      <c r="Q281" s="188"/>
      <c r="R281" s="312"/>
      <c r="S281" s="191"/>
      <c r="T281" s="188" t="s">
        <v>770</v>
      </c>
      <c r="U281" s="189" t="s">
        <v>469</v>
      </c>
      <c r="V281" s="144"/>
    </row>
    <row r="282" spans="1:22" s="371" customFormat="1" ht="100.5" customHeight="1" thickBot="1" x14ac:dyDescent="0.3">
      <c r="A282" s="456">
        <v>21</v>
      </c>
      <c r="B282" s="322"/>
      <c r="C282" s="322"/>
      <c r="D282" s="322"/>
      <c r="E282" s="323"/>
      <c r="F282" s="324"/>
      <c r="G282" s="113" t="s">
        <v>752</v>
      </c>
      <c r="H282" s="184" t="s">
        <v>761</v>
      </c>
      <c r="I282" s="185">
        <v>2046</v>
      </c>
      <c r="J282" s="278">
        <f>Haselnusserlös!A38/2</f>
        <v>204.072</v>
      </c>
      <c r="K282" s="186">
        <v>1</v>
      </c>
      <c r="L282" s="186">
        <v>1</v>
      </c>
      <c r="M282" s="187">
        <f t="shared" ref="M282" si="189">J282*K282/60</f>
        <v>3.4012000000000002</v>
      </c>
      <c r="N282" s="187">
        <f t="shared" ref="N282" si="190">J282*L282/60</f>
        <v>3.4012000000000002</v>
      </c>
      <c r="O282" s="188" t="s">
        <v>760</v>
      </c>
      <c r="P282" s="279" t="s">
        <v>754</v>
      </c>
      <c r="Q282" s="315" t="s">
        <v>762</v>
      </c>
      <c r="R282" s="190" t="s">
        <v>763</v>
      </c>
      <c r="S282" s="191"/>
      <c r="T282" s="316" t="s">
        <v>764</v>
      </c>
      <c r="U282" s="316" t="s">
        <v>469</v>
      </c>
      <c r="V282" s="144">
        <f>Haselnusserlös!A31*(1+3%)^21</f>
        <v>2530.8935589193343</v>
      </c>
    </row>
    <row r="283" spans="1:22" s="78" customFormat="1" ht="36" customHeight="1" thickBot="1" x14ac:dyDescent="0.3">
      <c r="A283" s="87">
        <v>21</v>
      </c>
      <c r="B283" s="98">
        <f>(SUM(M272:M282)*D7)*(1+2%)^21</f>
        <v>700.16671560709938</v>
      </c>
      <c r="C283" s="98">
        <f>(SUM(N272:N282)*D8)*(1+2%)^21</f>
        <v>920.54603684066285</v>
      </c>
      <c r="D283" s="88">
        <f>SUM(S272:S282)</f>
        <v>12285.670223810277</v>
      </c>
      <c r="E283" s="99">
        <f>SUM(B283:D283)</f>
        <v>13906.382976258039</v>
      </c>
      <c r="F283" s="123">
        <f>SUM(V272:V282)</f>
        <v>20477.118086309405</v>
      </c>
      <c r="G283" s="174"/>
      <c r="H283" s="73"/>
      <c r="I283" s="175"/>
      <c r="J283" s="74"/>
      <c r="K283" s="75"/>
      <c r="L283" s="75"/>
      <c r="M283" s="75"/>
      <c r="N283" s="75"/>
      <c r="O283" s="76"/>
      <c r="P283" s="176"/>
      <c r="Q283" s="177"/>
      <c r="R283" s="178"/>
      <c r="S283" s="179"/>
      <c r="T283" s="77"/>
      <c r="U283" s="180"/>
      <c r="V283" s="144"/>
    </row>
    <row r="284" spans="1:22" s="371" customFormat="1" ht="134.25" customHeight="1" x14ac:dyDescent="0.25">
      <c r="A284" s="456">
        <v>22</v>
      </c>
      <c r="B284" s="322"/>
      <c r="C284" s="322"/>
      <c r="D284" s="322"/>
      <c r="E284" s="323"/>
      <c r="F284" s="324"/>
      <c r="G284" s="200" t="s">
        <v>608</v>
      </c>
      <c r="H284" s="202" t="s">
        <v>607</v>
      </c>
      <c r="I284" s="171">
        <v>2047</v>
      </c>
      <c r="J284" s="198">
        <v>30</v>
      </c>
      <c r="K284" s="109">
        <v>1</v>
      </c>
      <c r="L284" s="182"/>
      <c r="M284" s="169">
        <f>J284*K284/60</f>
        <v>0.5</v>
      </c>
      <c r="N284" s="169">
        <f>J284*L284/60</f>
        <v>0</v>
      </c>
      <c r="O284" s="79" t="s">
        <v>627</v>
      </c>
      <c r="P284" s="110" t="s">
        <v>605</v>
      </c>
      <c r="Q284" s="101" t="s">
        <v>604</v>
      </c>
      <c r="R284" s="102"/>
      <c r="S284" s="103"/>
      <c r="T284" s="104" t="s">
        <v>611</v>
      </c>
      <c r="U284" s="72" t="s">
        <v>464</v>
      </c>
      <c r="V284" s="145"/>
    </row>
    <row r="285" spans="1:22" s="371" customFormat="1" ht="151.5" customHeight="1" x14ac:dyDescent="0.25">
      <c r="A285" s="456">
        <v>22</v>
      </c>
      <c r="B285" s="322"/>
      <c r="C285" s="322"/>
      <c r="D285" s="322"/>
      <c r="E285" s="323"/>
      <c r="F285" s="324"/>
      <c r="G285" s="201" t="s">
        <v>609</v>
      </c>
      <c r="H285" s="202" t="s">
        <v>606</v>
      </c>
      <c r="I285" s="171">
        <v>2047</v>
      </c>
      <c r="J285" s="199">
        <v>30</v>
      </c>
      <c r="K285" s="109">
        <v>1</v>
      </c>
      <c r="L285" s="182"/>
      <c r="M285" s="169">
        <f t="shared" ref="M285:M286" si="191">J285*K285/60</f>
        <v>0.5</v>
      </c>
      <c r="N285" s="169">
        <f t="shared" ref="N285:N286" si="192">J285*L285/60</f>
        <v>0</v>
      </c>
      <c r="O285" s="79" t="s">
        <v>627</v>
      </c>
      <c r="P285" s="110" t="s">
        <v>605</v>
      </c>
      <c r="Q285" s="172" t="s">
        <v>604</v>
      </c>
      <c r="R285" s="109"/>
      <c r="S285" s="173"/>
      <c r="T285" s="111" t="s">
        <v>611</v>
      </c>
      <c r="U285" s="72" t="s">
        <v>464</v>
      </c>
      <c r="V285" s="144"/>
    </row>
    <row r="286" spans="1:22" s="371" customFormat="1" ht="84" customHeight="1" x14ac:dyDescent="0.25">
      <c r="A286" s="456">
        <v>22</v>
      </c>
      <c r="B286" s="322"/>
      <c r="C286" s="322"/>
      <c r="D286" s="322"/>
      <c r="E286" s="323"/>
      <c r="F286" s="324"/>
      <c r="G286" s="201" t="s">
        <v>621</v>
      </c>
      <c r="H286" s="202" t="s">
        <v>622</v>
      </c>
      <c r="I286" s="171">
        <v>2047</v>
      </c>
      <c r="J286" s="105">
        <v>15</v>
      </c>
      <c r="K286" s="106">
        <v>1</v>
      </c>
      <c r="L286" s="182"/>
      <c r="M286" s="169">
        <f t="shared" si="191"/>
        <v>0.25</v>
      </c>
      <c r="N286" s="169">
        <f t="shared" si="192"/>
        <v>0</v>
      </c>
      <c r="O286" s="79" t="s">
        <v>623</v>
      </c>
      <c r="P286" s="170"/>
      <c r="Q286" s="172" t="s">
        <v>624</v>
      </c>
      <c r="R286" s="109" t="s">
        <v>625</v>
      </c>
      <c r="S286" s="173">
        <f>((46*20+36*5)/60*56.25)*(1+2%)^22</f>
        <v>1594.2915354876259</v>
      </c>
      <c r="T286" s="111" t="s">
        <v>766</v>
      </c>
      <c r="U286" s="170" t="s">
        <v>626</v>
      </c>
      <c r="V286" s="144"/>
    </row>
    <row r="287" spans="1:22" s="371" customFormat="1" ht="82.5" customHeight="1" x14ac:dyDescent="0.25">
      <c r="A287" s="456">
        <v>22</v>
      </c>
      <c r="B287" s="322"/>
      <c r="C287" s="322"/>
      <c r="D287" s="322"/>
      <c r="E287" s="323"/>
      <c r="F287" s="324"/>
      <c r="G287" s="113" t="s">
        <v>430</v>
      </c>
      <c r="H287" s="184" t="s">
        <v>470</v>
      </c>
      <c r="I287" s="185">
        <v>2047</v>
      </c>
      <c r="J287" s="112">
        <f>30*8</f>
        <v>240</v>
      </c>
      <c r="K287" s="186">
        <v>1</v>
      </c>
      <c r="L287" s="186"/>
      <c r="M287" s="187">
        <f>J287*K287/60</f>
        <v>4</v>
      </c>
      <c r="N287" s="187">
        <f>J287*L287/60</f>
        <v>0</v>
      </c>
      <c r="O287" s="188" t="s">
        <v>782</v>
      </c>
      <c r="P287" s="189" t="s">
        <v>472</v>
      </c>
      <c r="Q287" s="188"/>
      <c r="R287" s="190"/>
      <c r="S287" s="191"/>
      <c r="T287" s="188" t="s">
        <v>471</v>
      </c>
      <c r="U287" s="192" t="s">
        <v>464</v>
      </c>
      <c r="V287" s="144">
        <f>Futterlauberlös!A23*(1+3%)^22</f>
        <v>25.752429815088888</v>
      </c>
    </row>
    <row r="288" spans="1:22" s="371" customFormat="1" ht="82.5" customHeight="1" x14ac:dyDescent="0.25">
      <c r="A288" s="456">
        <v>22</v>
      </c>
      <c r="B288" s="322"/>
      <c r="C288" s="322"/>
      <c r="D288" s="322"/>
      <c r="E288" s="323"/>
      <c r="F288" s="324"/>
      <c r="G288" s="113" t="s">
        <v>679</v>
      </c>
      <c r="H288" s="184" t="s">
        <v>706</v>
      </c>
      <c r="I288" s="185">
        <v>2047</v>
      </c>
      <c r="J288" s="278">
        <f>Obsterlös!T53</f>
        <v>253.33333333333334</v>
      </c>
      <c r="K288" s="186">
        <v>1</v>
      </c>
      <c r="L288" s="186">
        <v>2</v>
      </c>
      <c r="M288" s="187">
        <f t="shared" ref="M288:M290" si="193">J288*K288/60</f>
        <v>4.2222222222222223</v>
      </c>
      <c r="N288" s="187">
        <f t="shared" ref="N288:N290" si="194">J288*L288/60</f>
        <v>8.4444444444444446</v>
      </c>
      <c r="O288" s="188" t="s">
        <v>687</v>
      </c>
      <c r="P288" s="189" t="s">
        <v>710</v>
      </c>
      <c r="Q288" s="188"/>
      <c r="R288" s="190"/>
      <c r="S288" s="191"/>
      <c r="T288" s="188" t="s">
        <v>708</v>
      </c>
      <c r="U288" s="189" t="s">
        <v>711</v>
      </c>
      <c r="V288" s="144">
        <f>SUM(Obsterlös!L59,Obsterlös!M59)*(1+3%)^22</f>
        <v>6257.0356816348785</v>
      </c>
    </row>
    <row r="289" spans="1:22" s="371" customFormat="1" ht="82.5" customHeight="1" x14ac:dyDescent="0.25">
      <c r="A289" s="456">
        <v>22</v>
      </c>
      <c r="B289" s="322"/>
      <c r="C289" s="322"/>
      <c r="D289" s="322"/>
      <c r="E289" s="323"/>
      <c r="F289" s="324"/>
      <c r="G289" s="113" t="s">
        <v>680</v>
      </c>
      <c r="H289" s="184" t="s">
        <v>706</v>
      </c>
      <c r="I289" s="185">
        <v>2047</v>
      </c>
      <c r="J289" s="278">
        <f>Obsterlös!T54</f>
        <v>222.85714285714286</v>
      </c>
      <c r="K289" s="186">
        <v>1</v>
      </c>
      <c r="L289" s="186">
        <v>2</v>
      </c>
      <c r="M289" s="187">
        <f t="shared" si="193"/>
        <v>3.7142857142857144</v>
      </c>
      <c r="N289" s="187">
        <f t="shared" si="194"/>
        <v>7.4285714285714288</v>
      </c>
      <c r="O289" s="188" t="s">
        <v>687</v>
      </c>
      <c r="P289" s="189" t="s">
        <v>710</v>
      </c>
      <c r="Q289" s="188"/>
      <c r="R289" s="190"/>
      <c r="S289" s="191"/>
      <c r="T289" s="188" t="s">
        <v>708</v>
      </c>
      <c r="U289" s="189" t="s">
        <v>711</v>
      </c>
      <c r="V289" s="144">
        <f>SUM(Obsterlös!L60,Obsterlös!M60)*(1+3%)^22</f>
        <v>6708.2780344215926</v>
      </c>
    </row>
    <row r="290" spans="1:22" s="371" customFormat="1" ht="82.5" customHeight="1" x14ac:dyDescent="0.25">
      <c r="A290" s="456">
        <v>22</v>
      </c>
      <c r="B290" s="322"/>
      <c r="C290" s="322"/>
      <c r="D290" s="322"/>
      <c r="E290" s="323"/>
      <c r="F290" s="324"/>
      <c r="G290" s="113" t="s">
        <v>681</v>
      </c>
      <c r="H290" s="184" t="s">
        <v>705</v>
      </c>
      <c r="I290" s="185">
        <v>2047</v>
      </c>
      <c r="J290" s="278">
        <f>Obsterlös!T55</f>
        <v>229.33333333333334</v>
      </c>
      <c r="K290" s="186">
        <v>1</v>
      </c>
      <c r="L290" s="186">
        <v>2</v>
      </c>
      <c r="M290" s="187">
        <f t="shared" si="193"/>
        <v>3.8222222222222224</v>
      </c>
      <c r="N290" s="187">
        <f t="shared" si="194"/>
        <v>7.6444444444444448</v>
      </c>
      <c r="O290" s="188" t="s">
        <v>687</v>
      </c>
      <c r="P290" s="189" t="s">
        <v>692</v>
      </c>
      <c r="Q290" s="188"/>
      <c r="R290" s="190"/>
      <c r="S290" s="191"/>
      <c r="T290" s="188" t="s">
        <v>690</v>
      </c>
      <c r="U290" s="189" t="s">
        <v>711</v>
      </c>
      <c r="V290" s="144">
        <f>Obsterlös!L64*(1+3%)^22</f>
        <v>5493.5451173402116</v>
      </c>
    </row>
    <row r="291" spans="1:22" s="371" customFormat="1" ht="82.5" customHeight="1" x14ac:dyDescent="0.25">
      <c r="A291" s="456">
        <v>22</v>
      </c>
      <c r="B291" s="322"/>
      <c r="C291" s="322"/>
      <c r="D291" s="322"/>
      <c r="E291" s="323"/>
      <c r="F291" s="324"/>
      <c r="G291" s="113" t="s">
        <v>3</v>
      </c>
      <c r="H291" s="184" t="s">
        <v>779</v>
      </c>
      <c r="I291" s="185">
        <v>2047</v>
      </c>
      <c r="J291" s="278">
        <f>SUM(J288:J290)*0.05</f>
        <v>35.276190476190479</v>
      </c>
      <c r="K291" s="186">
        <v>1</v>
      </c>
      <c r="L291" s="186">
        <v>2</v>
      </c>
      <c r="M291" s="187">
        <f t="shared" ref="M291:M292" si="195">J291*K291/60</f>
        <v>0.58793650793650798</v>
      </c>
      <c r="N291" s="187">
        <f t="shared" ref="N291:N292" si="196">J291*L291/60</f>
        <v>1.175873015873016</v>
      </c>
      <c r="O291" s="188" t="s">
        <v>687</v>
      </c>
      <c r="P291" s="189" t="s">
        <v>717</v>
      </c>
      <c r="Q291" s="188" t="s">
        <v>423</v>
      </c>
      <c r="R291" s="190" t="s">
        <v>716</v>
      </c>
      <c r="S291" s="191">
        <f>M291*17</f>
        <v>9.9949206349206356</v>
      </c>
      <c r="T291" s="188"/>
      <c r="U291" s="189" t="s">
        <v>469</v>
      </c>
      <c r="V291" s="144"/>
    </row>
    <row r="292" spans="1:22" s="371" customFormat="1" ht="159.75" customHeight="1" x14ac:dyDescent="0.25">
      <c r="A292" s="456">
        <v>22</v>
      </c>
      <c r="B292" s="322"/>
      <c r="C292" s="322"/>
      <c r="D292" s="322"/>
      <c r="E292" s="323"/>
      <c r="F292" s="324"/>
      <c r="G292" s="113" t="s">
        <v>727</v>
      </c>
      <c r="H292" s="184" t="s">
        <v>728</v>
      </c>
      <c r="I292" s="185">
        <v>2047</v>
      </c>
      <c r="J292" s="278">
        <f>SUM(Obsterlös!J48:J49)*0.2*0.5/5*1.5*4</f>
        <v>936</v>
      </c>
      <c r="K292" s="186">
        <v>0</v>
      </c>
      <c r="L292" s="186">
        <v>1</v>
      </c>
      <c r="M292" s="187">
        <f t="shared" si="195"/>
        <v>0</v>
      </c>
      <c r="N292" s="187">
        <f t="shared" si="196"/>
        <v>15.6</v>
      </c>
      <c r="O292" s="188" t="s">
        <v>729</v>
      </c>
      <c r="P292" s="189"/>
      <c r="Q292" s="188"/>
      <c r="R292" s="312"/>
      <c r="S292" s="191"/>
      <c r="T292" s="188" t="s">
        <v>770</v>
      </c>
      <c r="U292" s="189" t="s">
        <v>469</v>
      </c>
      <c r="V292" s="144"/>
    </row>
    <row r="293" spans="1:22" s="371" customFormat="1" ht="104.25" customHeight="1" thickBot="1" x14ac:dyDescent="0.3">
      <c r="A293" s="456">
        <v>22</v>
      </c>
      <c r="B293" s="322"/>
      <c r="C293" s="322"/>
      <c r="D293" s="322"/>
      <c r="E293" s="323"/>
      <c r="F293" s="324"/>
      <c r="G293" s="113" t="s">
        <v>752</v>
      </c>
      <c r="H293" s="184" t="s">
        <v>761</v>
      </c>
      <c r="I293" s="185">
        <v>2047</v>
      </c>
      <c r="J293" s="278">
        <f>Haselnusserlös!A38/2</f>
        <v>204.072</v>
      </c>
      <c r="K293" s="186">
        <v>1</v>
      </c>
      <c r="L293" s="186">
        <v>1</v>
      </c>
      <c r="M293" s="187">
        <f t="shared" ref="M293" si="197">J293*K293/60</f>
        <v>3.4012000000000002</v>
      </c>
      <c r="N293" s="187">
        <f t="shared" ref="N293" si="198">J293*L293/60</f>
        <v>3.4012000000000002</v>
      </c>
      <c r="O293" s="188" t="s">
        <v>760</v>
      </c>
      <c r="P293" s="279" t="s">
        <v>754</v>
      </c>
      <c r="Q293" s="315" t="s">
        <v>762</v>
      </c>
      <c r="R293" s="190" t="s">
        <v>763</v>
      </c>
      <c r="S293" s="191"/>
      <c r="T293" s="316" t="s">
        <v>764</v>
      </c>
      <c r="U293" s="316" t="s">
        <v>469</v>
      </c>
      <c r="V293" s="144">
        <f>Haselnusserlös!A31*(1+3%)^22</f>
        <v>2606.8203656869146</v>
      </c>
    </row>
    <row r="294" spans="1:22" s="78" customFormat="1" ht="36" customHeight="1" thickBot="1" x14ac:dyDescent="0.3">
      <c r="A294" s="87">
        <v>22</v>
      </c>
      <c r="B294" s="98">
        <f>(SUM(M284:M293)*D7)*(1+2%)^22</f>
        <v>714.17004991924136</v>
      </c>
      <c r="C294" s="98">
        <f>(SUM(N284:N293)*D8)*(1+2%)^22</f>
        <v>938.95695757747615</v>
      </c>
      <c r="D294" s="88">
        <f>SUM(S284:S293)</f>
        <v>1604.2864561225465</v>
      </c>
      <c r="E294" s="99">
        <f>SUM(B294:D294)</f>
        <v>3257.4134636192639</v>
      </c>
      <c r="F294" s="123">
        <f>SUM(V284:V293)</f>
        <v>21091.431628898688</v>
      </c>
      <c r="G294" s="174"/>
      <c r="H294" s="73"/>
      <c r="I294" s="175"/>
      <c r="J294" s="74"/>
      <c r="K294" s="75"/>
      <c r="L294" s="75"/>
      <c r="M294" s="75"/>
      <c r="N294" s="75"/>
      <c r="O294" s="76"/>
      <c r="P294" s="176"/>
      <c r="Q294" s="177"/>
      <c r="R294" s="178"/>
      <c r="S294" s="179"/>
      <c r="T294" s="77"/>
      <c r="U294" s="180"/>
      <c r="V294" s="144"/>
    </row>
    <row r="295" spans="1:22" s="371" customFormat="1" ht="146.25" customHeight="1" x14ac:dyDescent="0.25">
      <c r="A295" s="456">
        <v>23</v>
      </c>
      <c r="B295" s="322"/>
      <c r="C295" s="322"/>
      <c r="D295" s="322"/>
      <c r="E295" s="323"/>
      <c r="F295" s="324"/>
      <c r="G295" s="200" t="s">
        <v>608</v>
      </c>
      <c r="H295" s="202" t="s">
        <v>607</v>
      </c>
      <c r="I295" s="171">
        <v>2048</v>
      </c>
      <c r="J295" s="198">
        <v>30</v>
      </c>
      <c r="K295" s="109">
        <v>1</v>
      </c>
      <c r="L295" s="182"/>
      <c r="M295" s="169">
        <f>J295*K295/60</f>
        <v>0.5</v>
      </c>
      <c r="N295" s="169">
        <f>J295*L295/60</f>
        <v>0</v>
      </c>
      <c r="O295" s="79" t="s">
        <v>627</v>
      </c>
      <c r="P295" s="110" t="s">
        <v>605</v>
      </c>
      <c r="Q295" s="101" t="s">
        <v>604</v>
      </c>
      <c r="R295" s="102"/>
      <c r="S295" s="103"/>
      <c r="T295" s="104" t="s">
        <v>611</v>
      </c>
      <c r="U295" s="72" t="s">
        <v>464</v>
      </c>
      <c r="V295" s="145"/>
    </row>
    <row r="296" spans="1:22" s="371" customFormat="1" ht="117.75" customHeight="1" x14ac:dyDescent="0.25">
      <c r="A296" s="456">
        <v>23</v>
      </c>
      <c r="B296" s="322"/>
      <c r="C296" s="322"/>
      <c r="D296" s="322"/>
      <c r="E296" s="323"/>
      <c r="F296" s="324"/>
      <c r="G296" s="201" t="s">
        <v>609</v>
      </c>
      <c r="H296" s="202" t="s">
        <v>606</v>
      </c>
      <c r="I296" s="171">
        <v>2048</v>
      </c>
      <c r="J296" s="199">
        <v>30</v>
      </c>
      <c r="K296" s="109">
        <v>1</v>
      </c>
      <c r="L296" s="182"/>
      <c r="M296" s="169">
        <f t="shared" ref="M296:M297" si="199">J296*K296/60</f>
        <v>0.5</v>
      </c>
      <c r="N296" s="169">
        <f t="shared" ref="N296:N297" si="200">J296*L296/60</f>
        <v>0</v>
      </c>
      <c r="O296" s="79" t="s">
        <v>627</v>
      </c>
      <c r="P296" s="110" t="s">
        <v>605</v>
      </c>
      <c r="Q296" s="172" t="s">
        <v>604</v>
      </c>
      <c r="R296" s="109"/>
      <c r="S296" s="173"/>
      <c r="T296" s="111" t="s">
        <v>611</v>
      </c>
      <c r="U296" s="72" t="s">
        <v>464</v>
      </c>
      <c r="V296" s="144"/>
    </row>
    <row r="297" spans="1:22" s="371" customFormat="1" ht="86.25" customHeight="1" x14ac:dyDescent="0.25">
      <c r="A297" s="456">
        <v>23</v>
      </c>
      <c r="B297" s="322"/>
      <c r="C297" s="322"/>
      <c r="D297" s="322"/>
      <c r="E297" s="323"/>
      <c r="F297" s="324"/>
      <c r="G297" s="201" t="s">
        <v>621</v>
      </c>
      <c r="H297" s="202" t="s">
        <v>622</v>
      </c>
      <c r="I297" s="171">
        <v>2048</v>
      </c>
      <c r="J297" s="105">
        <v>15</v>
      </c>
      <c r="K297" s="106">
        <v>1</v>
      </c>
      <c r="L297" s="182"/>
      <c r="M297" s="169">
        <f t="shared" si="199"/>
        <v>0.25</v>
      </c>
      <c r="N297" s="169">
        <f t="shared" si="200"/>
        <v>0</v>
      </c>
      <c r="O297" s="79" t="s">
        <v>623</v>
      </c>
      <c r="P297" s="170"/>
      <c r="Q297" s="172" t="s">
        <v>624</v>
      </c>
      <c r="R297" s="109" t="s">
        <v>625</v>
      </c>
      <c r="S297" s="173">
        <f>((46*20+36*5)/60*56.25)*(1+2%)^23</f>
        <v>1626.1773661973782</v>
      </c>
      <c r="T297" s="111" t="s">
        <v>766</v>
      </c>
      <c r="U297" s="170" t="s">
        <v>626</v>
      </c>
      <c r="V297" s="144"/>
    </row>
    <row r="298" spans="1:22" s="371" customFormat="1" ht="124.5" customHeight="1" x14ac:dyDescent="0.25">
      <c r="A298" s="456">
        <v>23</v>
      </c>
      <c r="B298" s="322"/>
      <c r="C298" s="322"/>
      <c r="D298" s="322"/>
      <c r="E298" s="323"/>
      <c r="F298" s="324"/>
      <c r="G298" s="113" t="s">
        <v>430</v>
      </c>
      <c r="H298" s="184" t="s">
        <v>470</v>
      </c>
      <c r="I298" s="185">
        <v>2048</v>
      </c>
      <c r="J298" s="112">
        <f>30*8</f>
        <v>240</v>
      </c>
      <c r="K298" s="186">
        <v>1</v>
      </c>
      <c r="L298" s="186"/>
      <c r="M298" s="187">
        <f>J298*K298/60</f>
        <v>4</v>
      </c>
      <c r="N298" s="187">
        <f>J298*L298/60</f>
        <v>0</v>
      </c>
      <c r="O298" s="188" t="s">
        <v>782</v>
      </c>
      <c r="P298" s="189" t="s">
        <v>472</v>
      </c>
      <c r="Q298" s="188"/>
      <c r="R298" s="190"/>
      <c r="S298" s="191"/>
      <c r="T298" s="188" t="s">
        <v>471</v>
      </c>
      <c r="U298" s="192" t="s">
        <v>464</v>
      </c>
      <c r="V298" s="144">
        <f>Futterlauberlös!A23*(1+3%)^23</f>
        <v>26.525002709541557</v>
      </c>
    </row>
    <row r="299" spans="1:22" s="371" customFormat="1" ht="124.5" customHeight="1" x14ac:dyDescent="0.25">
      <c r="A299" s="456">
        <v>23</v>
      </c>
      <c r="B299" s="322"/>
      <c r="C299" s="322"/>
      <c r="D299" s="322"/>
      <c r="E299" s="323"/>
      <c r="F299" s="324"/>
      <c r="G299" s="113" t="s">
        <v>679</v>
      </c>
      <c r="H299" s="184" t="s">
        <v>706</v>
      </c>
      <c r="I299" s="185">
        <v>2048</v>
      </c>
      <c r="J299" s="278">
        <f>Obsterlös!T53</f>
        <v>253.33333333333334</v>
      </c>
      <c r="K299" s="186">
        <v>1</v>
      </c>
      <c r="L299" s="186">
        <v>2</v>
      </c>
      <c r="M299" s="187">
        <f t="shared" ref="M299:M300" si="201">J299*K299/60</f>
        <v>4.2222222222222223</v>
      </c>
      <c r="N299" s="187">
        <f t="shared" ref="N299:N300" si="202">J299*L299/60</f>
        <v>8.4444444444444446</v>
      </c>
      <c r="O299" s="188" t="s">
        <v>687</v>
      </c>
      <c r="P299" s="189" t="s">
        <v>710</v>
      </c>
      <c r="Q299" s="188"/>
      <c r="R299" s="190"/>
      <c r="S299" s="191"/>
      <c r="T299" s="188" t="s">
        <v>708</v>
      </c>
      <c r="U299" s="189" t="s">
        <v>711</v>
      </c>
      <c r="V299" s="144">
        <f>SUM(Obsterlös!L59,Obsterlös!M59)*(1+3%)^23</f>
        <v>6444.7467520839255</v>
      </c>
    </row>
    <row r="300" spans="1:22" s="371" customFormat="1" ht="124.5" customHeight="1" x14ac:dyDescent="0.25">
      <c r="A300" s="456">
        <v>23</v>
      </c>
      <c r="B300" s="322"/>
      <c r="C300" s="322"/>
      <c r="D300" s="322"/>
      <c r="E300" s="323"/>
      <c r="F300" s="324"/>
      <c r="G300" s="113" t="s">
        <v>680</v>
      </c>
      <c r="H300" s="184" t="s">
        <v>706</v>
      </c>
      <c r="I300" s="185">
        <v>2048</v>
      </c>
      <c r="J300" s="278">
        <f>Obsterlös!T54</f>
        <v>222.85714285714286</v>
      </c>
      <c r="K300" s="186">
        <v>1</v>
      </c>
      <c r="L300" s="186">
        <v>2</v>
      </c>
      <c r="M300" s="187">
        <f t="shared" si="201"/>
        <v>3.7142857142857144</v>
      </c>
      <c r="N300" s="187">
        <f t="shared" si="202"/>
        <v>7.4285714285714288</v>
      </c>
      <c r="O300" s="188" t="s">
        <v>687</v>
      </c>
      <c r="P300" s="189" t="s">
        <v>710</v>
      </c>
      <c r="Q300" s="188"/>
      <c r="R300" s="190"/>
      <c r="S300" s="191"/>
      <c r="T300" s="188" t="s">
        <v>708</v>
      </c>
      <c r="U300" s="189" t="s">
        <v>711</v>
      </c>
      <c r="V300" s="144">
        <f>SUM(Obsterlös!L60,Obsterlös!M60)*(1+3%)^23</f>
        <v>6909.5263754542402</v>
      </c>
    </row>
    <row r="301" spans="1:22" s="371" customFormat="1" ht="77.25" customHeight="1" x14ac:dyDescent="0.25">
      <c r="A301" s="456">
        <v>23</v>
      </c>
      <c r="B301" s="322"/>
      <c r="C301" s="322"/>
      <c r="D301" s="322"/>
      <c r="E301" s="323"/>
      <c r="F301" s="324"/>
      <c r="G301" s="113" t="s">
        <v>681</v>
      </c>
      <c r="H301" s="184" t="s">
        <v>705</v>
      </c>
      <c r="I301" s="185">
        <v>2048</v>
      </c>
      <c r="J301" s="278">
        <f>Obsterlös!T55</f>
        <v>229.33333333333334</v>
      </c>
      <c r="K301" s="186">
        <v>1</v>
      </c>
      <c r="L301" s="186">
        <v>2</v>
      </c>
      <c r="M301" s="187">
        <f>J301*K301/60</f>
        <v>3.8222222222222224</v>
      </c>
      <c r="N301" s="187">
        <f>J301*L301/60</f>
        <v>7.6444444444444448</v>
      </c>
      <c r="O301" s="188" t="s">
        <v>687</v>
      </c>
      <c r="P301" s="189" t="s">
        <v>692</v>
      </c>
      <c r="Q301" s="188"/>
      <c r="R301" s="190"/>
      <c r="S301" s="191"/>
      <c r="T301" s="188" t="s">
        <v>690</v>
      </c>
      <c r="U301" s="189" t="s">
        <v>711</v>
      </c>
      <c r="V301" s="144">
        <f>Obsterlös!L64*(1+3%)^23</f>
        <v>5658.3514708604189</v>
      </c>
    </row>
    <row r="302" spans="1:22" s="371" customFormat="1" ht="52.5" customHeight="1" x14ac:dyDescent="0.25">
      <c r="A302" s="456">
        <v>23</v>
      </c>
      <c r="B302" s="322"/>
      <c r="C302" s="322"/>
      <c r="D302" s="322"/>
      <c r="E302" s="323"/>
      <c r="F302" s="324"/>
      <c r="G302" s="113" t="s">
        <v>3</v>
      </c>
      <c r="H302" s="184" t="s">
        <v>779</v>
      </c>
      <c r="I302" s="185">
        <v>2048</v>
      </c>
      <c r="J302" s="278">
        <f>SUM(J299:J301)*0.05</f>
        <v>35.276190476190479</v>
      </c>
      <c r="K302" s="186">
        <v>1</v>
      </c>
      <c r="L302" s="186">
        <v>2</v>
      </c>
      <c r="M302" s="187">
        <f>J302*K302/60</f>
        <v>0.58793650793650798</v>
      </c>
      <c r="N302" s="187">
        <f>J302*L302/60</f>
        <v>1.175873015873016</v>
      </c>
      <c r="O302" s="188" t="s">
        <v>687</v>
      </c>
      <c r="P302" s="189" t="s">
        <v>717</v>
      </c>
      <c r="Q302" s="188" t="s">
        <v>423</v>
      </c>
      <c r="R302" s="190" t="s">
        <v>716</v>
      </c>
      <c r="S302" s="191">
        <f>M302*17</f>
        <v>9.9949206349206356</v>
      </c>
      <c r="T302" s="188"/>
      <c r="U302" s="189" t="s">
        <v>469</v>
      </c>
      <c r="V302" s="144"/>
    </row>
    <row r="303" spans="1:22" s="371" customFormat="1" ht="130.5" customHeight="1" x14ac:dyDescent="0.25">
      <c r="A303" s="456">
        <v>23</v>
      </c>
      <c r="B303" s="322"/>
      <c r="C303" s="322"/>
      <c r="D303" s="322"/>
      <c r="E303" s="323"/>
      <c r="F303" s="324"/>
      <c r="G303" s="113" t="s">
        <v>727</v>
      </c>
      <c r="H303" s="184" t="s">
        <v>728</v>
      </c>
      <c r="I303" s="185">
        <v>2048</v>
      </c>
      <c r="J303" s="278">
        <f>SUM(Obsterlös!J48:J49)*0.2*0.5/5*1.5*4</f>
        <v>936</v>
      </c>
      <c r="K303" s="186">
        <v>0</v>
      </c>
      <c r="L303" s="186">
        <v>1</v>
      </c>
      <c r="M303" s="187">
        <f t="shared" ref="M303" si="203">J303*K303/60</f>
        <v>0</v>
      </c>
      <c r="N303" s="187">
        <f t="shared" ref="N303" si="204">J303*L303/60</f>
        <v>15.6</v>
      </c>
      <c r="O303" s="188" t="s">
        <v>729</v>
      </c>
      <c r="P303" s="189"/>
      <c r="Q303" s="188"/>
      <c r="R303" s="312"/>
      <c r="S303" s="191"/>
      <c r="T303" s="188" t="s">
        <v>770</v>
      </c>
      <c r="U303" s="189" t="s">
        <v>469</v>
      </c>
      <c r="V303" s="144"/>
    </row>
    <row r="304" spans="1:22" s="371" customFormat="1" ht="112.5" customHeight="1" thickBot="1" x14ac:dyDescent="0.3">
      <c r="A304" s="456">
        <v>23</v>
      </c>
      <c r="B304" s="322"/>
      <c r="C304" s="322"/>
      <c r="D304" s="322"/>
      <c r="E304" s="323"/>
      <c r="F304" s="324"/>
      <c r="G304" s="113" t="s">
        <v>752</v>
      </c>
      <c r="H304" s="184" t="s">
        <v>761</v>
      </c>
      <c r="I304" s="185">
        <v>2048</v>
      </c>
      <c r="J304" s="278">
        <f>Haselnusserlös!A38/2</f>
        <v>204.072</v>
      </c>
      <c r="K304" s="186">
        <v>1</v>
      </c>
      <c r="L304" s="186">
        <v>1</v>
      </c>
      <c r="M304" s="187">
        <f t="shared" ref="M304" si="205">J304*K304/60</f>
        <v>3.4012000000000002</v>
      </c>
      <c r="N304" s="187">
        <f t="shared" ref="N304" si="206">J304*L304/60</f>
        <v>3.4012000000000002</v>
      </c>
      <c r="O304" s="188" t="s">
        <v>760</v>
      </c>
      <c r="P304" s="279" t="s">
        <v>754</v>
      </c>
      <c r="Q304" s="315" t="s">
        <v>762</v>
      </c>
      <c r="R304" s="190" t="s">
        <v>763</v>
      </c>
      <c r="S304" s="191"/>
      <c r="T304" s="316" t="s">
        <v>764</v>
      </c>
      <c r="U304" s="316" t="s">
        <v>469</v>
      </c>
      <c r="V304" s="144">
        <f>Haselnusserlös!A31*(1+3%)^23</f>
        <v>2685.0249766575221</v>
      </c>
    </row>
    <row r="305" spans="1:22" s="78" customFormat="1" ht="36" customHeight="1" thickBot="1" x14ac:dyDescent="0.3">
      <c r="A305" s="87">
        <v>23</v>
      </c>
      <c r="B305" s="98">
        <f>(SUM(M295:M304)*D7)*(1+2%)^23</f>
        <v>728.45345091762613</v>
      </c>
      <c r="C305" s="98">
        <f>(SUM(N295:N304)*D8)*(1+2%)^23</f>
        <v>957.73609672902546</v>
      </c>
      <c r="D305" s="88">
        <f>SUM(S295:S304)</f>
        <v>1636.1722868322988</v>
      </c>
      <c r="E305" s="99">
        <f>SUM(B305:D305)</f>
        <v>3322.3618344789502</v>
      </c>
      <c r="F305" s="123">
        <f>SUM(V295:V304)</f>
        <v>21724.174577765647</v>
      </c>
      <c r="G305" s="174"/>
      <c r="H305" s="73"/>
      <c r="I305" s="175"/>
      <c r="J305" s="74"/>
      <c r="K305" s="75"/>
      <c r="L305" s="75"/>
      <c r="M305" s="75"/>
      <c r="N305" s="75"/>
      <c r="O305" s="76"/>
      <c r="P305" s="176"/>
      <c r="Q305" s="177"/>
      <c r="R305" s="178"/>
      <c r="S305" s="179"/>
      <c r="T305" s="77"/>
      <c r="U305" s="180"/>
      <c r="V305" s="144"/>
    </row>
    <row r="306" spans="1:22" s="371" customFormat="1" ht="131.25" customHeight="1" x14ac:dyDescent="0.25">
      <c r="A306" s="456">
        <v>24</v>
      </c>
      <c r="B306" s="322"/>
      <c r="C306" s="322"/>
      <c r="D306" s="322"/>
      <c r="E306" s="323"/>
      <c r="F306" s="324"/>
      <c r="G306" s="200" t="s">
        <v>608</v>
      </c>
      <c r="H306" s="202" t="s">
        <v>607</v>
      </c>
      <c r="I306" s="171">
        <v>2049</v>
      </c>
      <c r="J306" s="198">
        <v>30</v>
      </c>
      <c r="K306" s="109">
        <v>1</v>
      </c>
      <c r="L306" s="182"/>
      <c r="M306" s="169">
        <f>J306*K306/60</f>
        <v>0.5</v>
      </c>
      <c r="N306" s="169">
        <f>J306*L306/60</f>
        <v>0</v>
      </c>
      <c r="O306" s="79" t="s">
        <v>627</v>
      </c>
      <c r="P306" s="110" t="s">
        <v>605</v>
      </c>
      <c r="Q306" s="101" t="s">
        <v>604</v>
      </c>
      <c r="R306" s="102"/>
      <c r="S306" s="103"/>
      <c r="T306" s="104" t="s">
        <v>611</v>
      </c>
      <c r="U306" s="72" t="s">
        <v>464</v>
      </c>
      <c r="V306" s="145"/>
    </row>
    <row r="307" spans="1:22" s="371" customFormat="1" ht="138" customHeight="1" x14ac:dyDescent="0.25">
      <c r="A307" s="456">
        <v>24</v>
      </c>
      <c r="B307" s="322"/>
      <c r="C307" s="322"/>
      <c r="D307" s="322"/>
      <c r="E307" s="323"/>
      <c r="F307" s="324"/>
      <c r="G307" s="201" t="s">
        <v>609</v>
      </c>
      <c r="H307" s="202" t="s">
        <v>606</v>
      </c>
      <c r="I307" s="171">
        <v>2049</v>
      </c>
      <c r="J307" s="199">
        <v>30</v>
      </c>
      <c r="K307" s="109">
        <v>1</v>
      </c>
      <c r="L307" s="182"/>
      <c r="M307" s="169">
        <f t="shared" ref="M307:M308" si="207">J307*K307/60</f>
        <v>0.5</v>
      </c>
      <c r="N307" s="169">
        <f t="shared" ref="N307:N308" si="208">J307*L307/60</f>
        <v>0</v>
      </c>
      <c r="O307" s="79" t="s">
        <v>627</v>
      </c>
      <c r="P307" s="110" t="s">
        <v>605</v>
      </c>
      <c r="Q307" s="172" t="s">
        <v>604</v>
      </c>
      <c r="R307" s="109"/>
      <c r="S307" s="173"/>
      <c r="T307" s="111" t="s">
        <v>611</v>
      </c>
      <c r="U307" s="72" t="s">
        <v>464</v>
      </c>
      <c r="V307" s="144"/>
    </row>
    <row r="308" spans="1:22" s="371" customFormat="1" ht="81.75" customHeight="1" x14ac:dyDescent="0.25">
      <c r="A308" s="456">
        <v>24</v>
      </c>
      <c r="B308" s="322"/>
      <c r="C308" s="322"/>
      <c r="D308" s="322"/>
      <c r="E308" s="323"/>
      <c r="F308" s="324"/>
      <c r="G308" s="201" t="s">
        <v>621</v>
      </c>
      <c r="H308" s="202" t="s">
        <v>622</v>
      </c>
      <c r="I308" s="171">
        <v>2049</v>
      </c>
      <c r="J308" s="105">
        <v>15</v>
      </c>
      <c r="K308" s="106">
        <v>1</v>
      </c>
      <c r="L308" s="182"/>
      <c r="M308" s="169">
        <f t="shared" si="207"/>
        <v>0.25</v>
      </c>
      <c r="N308" s="169">
        <f t="shared" si="208"/>
        <v>0</v>
      </c>
      <c r="O308" s="79" t="s">
        <v>623</v>
      </c>
      <c r="P308" s="170"/>
      <c r="Q308" s="172" t="s">
        <v>624</v>
      </c>
      <c r="R308" s="109" t="s">
        <v>625</v>
      </c>
      <c r="S308" s="173">
        <f>((46*20+36*5)/60*56.25)*(1+2%)^24</f>
        <v>1658.7009135213259</v>
      </c>
      <c r="T308" s="111" t="s">
        <v>766</v>
      </c>
      <c r="U308" s="170" t="s">
        <v>626</v>
      </c>
      <c r="V308" s="144"/>
    </row>
    <row r="309" spans="1:22" s="371" customFormat="1" ht="81.75" customHeight="1" x14ac:dyDescent="0.25">
      <c r="A309" s="456">
        <v>24</v>
      </c>
      <c r="B309" s="322"/>
      <c r="C309" s="322"/>
      <c r="D309" s="322"/>
      <c r="E309" s="323"/>
      <c r="F309" s="324"/>
      <c r="G309" s="113" t="s">
        <v>430</v>
      </c>
      <c r="H309" s="184" t="s">
        <v>470</v>
      </c>
      <c r="I309" s="185">
        <v>2049</v>
      </c>
      <c r="J309" s="112">
        <f>30*8</f>
        <v>240</v>
      </c>
      <c r="K309" s="186">
        <v>1</v>
      </c>
      <c r="L309" s="186"/>
      <c r="M309" s="187">
        <f>J309*K309/60</f>
        <v>4</v>
      </c>
      <c r="N309" s="187">
        <f>J309*L309/60</f>
        <v>0</v>
      </c>
      <c r="O309" s="188" t="s">
        <v>782</v>
      </c>
      <c r="P309" s="189" t="s">
        <v>472</v>
      </c>
      <c r="Q309" s="188"/>
      <c r="R309" s="190"/>
      <c r="S309" s="191"/>
      <c r="T309" s="188" t="s">
        <v>471</v>
      </c>
      <c r="U309" s="192" t="s">
        <v>464</v>
      </c>
      <c r="V309" s="144">
        <f>Futterlauberlös!A23*(1+3%)^24</f>
        <v>27.3207527908278</v>
      </c>
    </row>
    <row r="310" spans="1:22" s="371" customFormat="1" ht="81.75" customHeight="1" x14ac:dyDescent="0.25">
      <c r="A310" s="456">
        <v>24</v>
      </c>
      <c r="B310" s="322"/>
      <c r="C310" s="322"/>
      <c r="D310" s="322"/>
      <c r="E310" s="323"/>
      <c r="F310" s="324"/>
      <c r="G310" s="113" t="s">
        <v>679</v>
      </c>
      <c r="H310" s="184" t="s">
        <v>706</v>
      </c>
      <c r="I310" s="185">
        <v>2049</v>
      </c>
      <c r="J310" s="278">
        <f>Obsterlös!T53</f>
        <v>253.33333333333334</v>
      </c>
      <c r="K310" s="186">
        <v>1</v>
      </c>
      <c r="L310" s="186">
        <v>2</v>
      </c>
      <c r="M310" s="187">
        <f t="shared" ref="M310:M312" si="209">J310*K310/60</f>
        <v>4.2222222222222223</v>
      </c>
      <c r="N310" s="187">
        <f t="shared" ref="N310:N312" si="210">J310*L310/60</f>
        <v>8.4444444444444446</v>
      </c>
      <c r="O310" s="188" t="s">
        <v>687</v>
      </c>
      <c r="P310" s="189" t="s">
        <v>710</v>
      </c>
      <c r="Q310" s="188"/>
      <c r="R310" s="190"/>
      <c r="S310" s="191"/>
      <c r="T310" s="188" t="s">
        <v>708</v>
      </c>
      <c r="U310" s="189" t="s">
        <v>711</v>
      </c>
      <c r="V310" s="144">
        <f>SUM(Obsterlös!L59,Obsterlös!M59)*(1+3%)^24</f>
        <v>6638.0891546464418</v>
      </c>
    </row>
    <row r="311" spans="1:22" s="371" customFormat="1" ht="81.75" customHeight="1" x14ac:dyDescent="0.25">
      <c r="A311" s="456">
        <v>24</v>
      </c>
      <c r="B311" s="322"/>
      <c r="C311" s="322"/>
      <c r="D311" s="322"/>
      <c r="E311" s="323"/>
      <c r="F311" s="324"/>
      <c r="G311" s="113" t="s">
        <v>680</v>
      </c>
      <c r="H311" s="184" t="s">
        <v>706</v>
      </c>
      <c r="I311" s="185">
        <v>2049</v>
      </c>
      <c r="J311" s="278">
        <f>Obsterlös!T54</f>
        <v>222.85714285714286</v>
      </c>
      <c r="K311" s="186">
        <v>1</v>
      </c>
      <c r="L311" s="186">
        <v>2</v>
      </c>
      <c r="M311" s="187">
        <f t="shared" si="209"/>
        <v>3.7142857142857144</v>
      </c>
      <c r="N311" s="187">
        <f t="shared" si="210"/>
        <v>7.4285714285714288</v>
      </c>
      <c r="O311" s="188" t="s">
        <v>687</v>
      </c>
      <c r="P311" s="189" t="s">
        <v>710</v>
      </c>
      <c r="Q311" s="188"/>
      <c r="R311" s="190"/>
      <c r="S311" s="191"/>
      <c r="T311" s="188" t="s">
        <v>708</v>
      </c>
      <c r="U311" s="189" t="s">
        <v>711</v>
      </c>
      <c r="V311" s="144">
        <f>SUM(Obsterlös!L60,Obsterlös!M60)*(1+3%)^24</f>
        <v>7116.8121667178666</v>
      </c>
    </row>
    <row r="312" spans="1:22" s="371" customFormat="1" ht="81.75" customHeight="1" x14ac:dyDescent="0.25">
      <c r="A312" s="456">
        <v>24</v>
      </c>
      <c r="B312" s="322"/>
      <c r="C312" s="322"/>
      <c r="D312" s="322"/>
      <c r="E312" s="323"/>
      <c r="F312" s="324"/>
      <c r="G312" s="113" t="s">
        <v>681</v>
      </c>
      <c r="H312" s="184" t="s">
        <v>705</v>
      </c>
      <c r="I312" s="185">
        <v>2049</v>
      </c>
      <c r="J312" s="278">
        <f>Obsterlös!T55</f>
        <v>229.33333333333334</v>
      </c>
      <c r="K312" s="186">
        <v>1</v>
      </c>
      <c r="L312" s="186">
        <v>2</v>
      </c>
      <c r="M312" s="187">
        <f t="shared" si="209"/>
        <v>3.8222222222222224</v>
      </c>
      <c r="N312" s="187">
        <f t="shared" si="210"/>
        <v>7.6444444444444448</v>
      </c>
      <c r="O312" s="188" t="s">
        <v>687</v>
      </c>
      <c r="P312" s="189" t="s">
        <v>692</v>
      </c>
      <c r="Q312" s="188"/>
      <c r="R312" s="190"/>
      <c r="S312" s="191"/>
      <c r="T312" s="188" t="s">
        <v>690</v>
      </c>
      <c r="U312" s="189" t="s">
        <v>711</v>
      </c>
      <c r="V312" s="144">
        <f>Obsterlös!L64*(1+3%)^24</f>
        <v>5828.1020149862306</v>
      </c>
    </row>
    <row r="313" spans="1:22" s="371" customFormat="1" ht="81.75" customHeight="1" x14ac:dyDescent="0.25">
      <c r="A313" s="456">
        <v>24</v>
      </c>
      <c r="B313" s="322"/>
      <c r="C313" s="322"/>
      <c r="D313" s="322"/>
      <c r="E313" s="323"/>
      <c r="F313" s="324"/>
      <c r="G313" s="113" t="s">
        <v>3</v>
      </c>
      <c r="H313" s="184" t="s">
        <v>779</v>
      </c>
      <c r="I313" s="185">
        <v>2049</v>
      </c>
      <c r="J313" s="278">
        <f>SUM(J310:J312)*0.05</f>
        <v>35.276190476190479</v>
      </c>
      <c r="K313" s="186">
        <v>1</v>
      </c>
      <c r="L313" s="186">
        <v>2</v>
      </c>
      <c r="M313" s="187">
        <f t="shared" ref="M313:M314" si="211">J313*K313/60</f>
        <v>0.58793650793650798</v>
      </c>
      <c r="N313" s="187">
        <f t="shared" ref="N313:N314" si="212">J313*L313/60</f>
        <v>1.175873015873016</v>
      </c>
      <c r="O313" s="188" t="s">
        <v>687</v>
      </c>
      <c r="P313" s="189" t="s">
        <v>717</v>
      </c>
      <c r="Q313" s="188" t="s">
        <v>423</v>
      </c>
      <c r="R313" s="190" t="s">
        <v>716</v>
      </c>
      <c r="S313" s="191">
        <f>M313*17</f>
        <v>9.9949206349206356</v>
      </c>
      <c r="T313" s="188"/>
      <c r="U313" s="189" t="s">
        <v>469</v>
      </c>
      <c r="V313" s="144"/>
    </row>
    <row r="314" spans="1:22" s="371" customFormat="1" ht="126.75" customHeight="1" x14ac:dyDescent="0.25">
      <c r="A314" s="456">
        <v>24</v>
      </c>
      <c r="B314" s="322"/>
      <c r="C314" s="322"/>
      <c r="D314" s="322"/>
      <c r="E314" s="323"/>
      <c r="F314" s="324"/>
      <c r="G314" s="113" t="s">
        <v>727</v>
      </c>
      <c r="H314" s="184" t="s">
        <v>728</v>
      </c>
      <c r="I314" s="185">
        <v>2049</v>
      </c>
      <c r="J314" s="278">
        <f>SUM(Obsterlös!J48:J49)*0.2*0.5/5*1.5*4</f>
        <v>936</v>
      </c>
      <c r="K314" s="186">
        <v>0</v>
      </c>
      <c r="L314" s="186">
        <v>1</v>
      </c>
      <c r="M314" s="187">
        <f t="shared" si="211"/>
        <v>0</v>
      </c>
      <c r="N314" s="187">
        <f t="shared" si="212"/>
        <v>15.6</v>
      </c>
      <c r="O314" s="188" t="s">
        <v>729</v>
      </c>
      <c r="P314" s="189"/>
      <c r="Q314" s="188"/>
      <c r="R314" s="312"/>
      <c r="S314" s="191"/>
      <c r="T314" s="188" t="s">
        <v>770</v>
      </c>
      <c r="U314" s="189" t="s">
        <v>469</v>
      </c>
      <c r="V314" s="144"/>
    </row>
    <row r="315" spans="1:22" s="371" customFormat="1" ht="118.5" customHeight="1" thickBot="1" x14ac:dyDescent="0.3">
      <c r="A315" s="456">
        <v>24</v>
      </c>
      <c r="B315" s="322"/>
      <c r="C315" s="322"/>
      <c r="D315" s="322"/>
      <c r="E315" s="323"/>
      <c r="F315" s="324"/>
      <c r="G315" s="113" t="s">
        <v>752</v>
      </c>
      <c r="H315" s="184" t="s">
        <v>761</v>
      </c>
      <c r="I315" s="185">
        <v>2049</v>
      </c>
      <c r="J315" s="278">
        <f>Haselnusserlös!A38/2</f>
        <v>204.072</v>
      </c>
      <c r="K315" s="186">
        <v>1</v>
      </c>
      <c r="L315" s="186">
        <v>1</v>
      </c>
      <c r="M315" s="187">
        <f t="shared" ref="M315" si="213">J315*K315/60</f>
        <v>3.4012000000000002</v>
      </c>
      <c r="N315" s="187">
        <f t="shared" ref="N315" si="214">J315*L315/60</f>
        <v>3.4012000000000002</v>
      </c>
      <c r="O315" s="188" t="s">
        <v>760</v>
      </c>
      <c r="P315" s="279" t="s">
        <v>754</v>
      </c>
      <c r="Q315" s="315" t="s">
        <v>762</v>
      </c>
      <c r="R315" s="190" t="s">
        <v>763</v>
      </c>
      <c r="S315" s="191"/>
      <c r="T315" s="316" t="s">
        <v>764</v>
      </c>
      <c r="U315" s="316" t="s">
        <v>469</v>
      </c>
      <c r="V315" s="144">
        <f>Haselnusserlös!A31*(1+3%)^24</f>
        <v>2765.5757259572474</v>
      </c>
    </row>
    <row r="316" spans="1:22" s="78" customFormat="1" ht="21" customHeight="1" thickBot="1" x14ac:dyDescent="0.3">
      <c r="A316" s="87">
        <v>24</v>
      </c>
      <c r="B316" s="98">
        <f>(SUM(M306:M315)*D7)*(1+2%)^24</f>
        <v>743.02251993597861</v>
      </c>
      <c r="C316" s="98">
        <f>(SUM(N306:N315)*D8)*(1+2%)^24</f>
        <v>976.89081866360607</v>
      </c>
      <c r="D316" s="88">
        <f>SUM(S306:S315)</f>
        <v>1668.6958341562465</v>
      </c>
      <c r="E316" s="99">
        <f>SUM(B316:D316)</f>
        <v>3388.6091727558314</v>
      </c>
      <c r="F316" s="123">
        <f>SUM(V306:V315)</f>
        <v>22375.899815098615</v>
      </c>
      <c r="G316" s="174"/>
      <c r="H316" s="73"/>
      <c r="I316" s="175"/>
      <c r="J316" s="74"/>
      <c r="K316" s="75"/>
      <c r="L316" s="75"/>
      <c r="M316" s="75"/>
      <c r="N316" s="75"/>
      <c r="O316" s="76"/>
      <c r="P316" s="176"/>
      <c r="Q316" s="177"/>
      <c r="R316" s="178"/>
      <c r="S316" s="179"/>
      <c r="T316" s="77"/>
      <c r="U316" s="180"/>
      <c r="V316" s="144"/>
    </row>
    <row r="317" spans="1:22" s="371" customFormat="1" ht="129.75" customHeight="1" x14ac:dyDescent="0.25">
      <c r="A317" s="456">
        <v>25</v>
      </c>
      <c r="B317" s="322"/>
      <c r="C317" s="322"/>
      <c r="D317" s="322"/>
      <c r="E317" s="323"/>
      <c r="F317" s="324"/>
      <c r="G317" s="200" t="s">
        <v>608</v>
      </c>
      <c r="H317" s="202" t="s">
        <v>607</v>
      </c>
      <c r="I317" s="171">
        <v>2050</v>
      </c>
      <c r="J317" s="198">
        <v>30</v>
      </c>
      <c r="K317" s="109">
        <v>1</v>
      </c>
      <c r="L317" s="182"/>
      <c r="M317" s="169">
        <f>J317*K317/60</f>
        <v>0.5</v>
      </c>
      <c r="N317" s="169">
        <f>J317*L317/60</f>
        <v>0</v>
      </c>
      <c r="O317" s="79" t="s">
        <v>627</v>
      </c>
      <c r="P317" s="110" t="s">
        <v>605</v>
      </c>
      <c r="Q317" s="101" t="s">
        <v>604</v>
      </c>
      <c r="R317" s="102"/>
      <c r="S317" s="103"/>
      <c r="T317" s="104" t="s">
        <v>611</v>
      </c>
      <c r="U317" s="72" t="s">
        <v>464</v>
      </c>
      <c r="V317" s="145"/>
    </row>
    <row r="318" spans="1:22" s="371" customFormat="1" ht="125.25" customHeight="1" x14ac:dyDescent="0.25">
      <c r="A318" s="456">
        <v>25</v>
      </c>
      <c r="B318" s="322"/>
      <c r="C318" s="322"/>
      <c r="D318" s="322"/>
      <c r="E318" s="323"/>
      <c r="F318" s="324"/>
      <c r="G318" s="201" t="s">
        <v>609</v>
      </c>
      <c r="H318" s="202" t="s">
        <v>606</v>
      </c>
      <c r="I318" s="171">
        <v>2050</v>
      </c>
      <c r="J318" s="199">
        <v>30</v>
      </c>
      <c r="K318" s="109">
        <v>1</v>
      </c>
      <c r="L318" s="182"/>
      <c r="M318" s="169">
        <f t="shared" ref="M318:M319" si="215">J318*K318/60</f>
        <v>0.5</v>
      </c>
      <c r="N318" s="169">
        <f t="shared" ref="N318:N319" si="216">J318*L318/60</f>
        <v>0</v>
      </c>
      <c r="O318" s="79" t="s">
        <v>627</v>
      </c>
      <c r="P318" s="110" t="s">
        <v>605</v>
      </c>
      <c r="Q318" s="172" t="s">
        <v>604</v>
      </c>
      <c r="R318" s="109"/>
      <c r="S318" s="173"/>
      <c r="T318" s="111" t="s">
        <v>611</v>
      </c>
      <c r="U318" s="72" t="s">
        <v>464</v>
      </c>
      <c r="V318" s="144"/>
    </row>
    <row r="319" spans="1:22" s="371" customFormat="1" ht="86.25" customHeight="1" x14ac:dyDescent="0.25">
      <c r="A319" s="456">
        <v>25</v>
      </c>
      <c r="B319" s="322"/>
      <c r="C319" s="322"/>
      <c r="D319" s="322"/>
      <c r="E319" s="323"/>
      <c r="F319" s="324"/>
      <c r="G319" s="201" t="s">
        <v>621</v>
      </c>
      <c r="H319" s="202" t="s">
        <v>622</v>
      </c>
      <c r="I319" s="171">
        <v>2050</v>
      </c>
      <c r="J319" s="105">
        <v>15</v>
      </c>
      <c r="K319" s="106">
        <v>1</v>
      </c>
      <c r="L319" s="182"/>
      <c r="M319" s="169">
        <f t="shared" si="215"/>
        <v>0.25</v>
      </c>
      <c r="N319" s="169">
        <f t="shared" si="216"/>
        <v>0</v>
      </c>
      <c r="O319" s="79" t="s">
        <v>623</v>
      </c>
      <c r="P319" s="170"/>
      <c r="Q319" s="172" t="s">
        <v>624</v>
      </c>
      <c r="R319" s="109" t="s">
        <v>625</v>
      </c>
      <c r="S319" s="173">
        <f>((46*20+36*5)/60*56.25)*(1+2%)^25</f>
        <v>1691.8749317917523</v>
      </c>
      <c r="T319" s="111" t="s">
        <v>766</v>
      </c>
      <c r="U319" s="170" t="s">
        <v>626</v>
      </c>
      <c r="V319" s="144"/>
    </row>
    <row r="320" spans="1:22" s="371" customFormat="1" ht="78" customHeight="1" x14ac:dyDescent="0.25">
      <c r="A320" s="456">
        <v>25</v>
      </c>
      <c r="B320" s="322"/>
      <c r="C320" s="322"/>
      <c r="D320" s="322"/>
      <c r="E320" s="323"/>
      <c r="F320" s="324"/>
      <c r="G320" s="113" t="s">
        <v>430</v>
      </c>
      <c r="H320" s="184" t="s">
        <v>470</v>
      </c>
      <c r="I320" s="185">
        <v>2050</v>
      </c>
      <c r="J320" s="112">
        <f>30*8</f>
        <v>240</v>
      </c>
      <c r="K320" s="186">
        <v>1</v>
      </c>
      <c r="L320" s="186"/>
      <c r="M320" s="187">
        <f>J320*K320/60</f>
        <v>4</v>
      </c>
      <c r="N320" s="187">
        <f>J320*L320/60</f>
        <v>0</v>
      </c>
      <c r="O320" s="188" t="s">
        <v>782</v>
      </c>
      <c r="P320" s="189" t="s">
        <v>472</v>
      </c>
      <c r="Q320" s="188"/>
      <c r="R320" s="190"/>
      <c r="S320" s="191"/>
      <c r="T320" s="188" t="s">
        <v>471</v>
      </c>
      <c r="U320" s="311" t="s">
        <v>464</v>
      </c>
      <c r="V320" s="144">
        <f>Futterlauberlös!A23*(1+3%)^25</f>
        <v>28.140375374552633</v>
      </c>
    </row>
    <row r="321" spans="1:22" s="371" customFormat="1" ht="83.25" customHeight="1" x14ac:dyDescent="0.25">
      <c r="A321" s="456">
        <v>25</v>
      </c>
      <c r="B321" s="322"/>
      <c r="C321" s="322"/>
      <c r="D321" s="322"/>
      <c r="E321" s="323"/>
      <c r="F321" s="324"/>
      <c r="G321" s="113" t="s">
        <v>679</v>
      </c>
      <c r="H321" s="184" t="s">
        <v>706</v>
      </c>
      <c r="I321" s="185">
        <v>2050</v>
      </c>
      <c r="J321" s="278">
        <f>Obsterlös!T53</f>
        <v>253.33333333333334</v>
      </c>
      <c r="K321" s="186">
        <v>1</v>
      </c>
      <c r="L321" s="186">
        <v>2</v>
      </c>
      <c r="M321" s="187">
        <f t="shared" ref="M321:M323" si="217">J321*K321/60</f>
        <v>4.2222222222222223</v>
      </c>
      <c r="N321" s="187">
        <f t="shared" ref="N321:N323" si="218">J321*L321/60</f>
        <v>8.4444444444444446</v>
      </c>
      <c r="O321" s="188" t="s">
        <v>687</v>
      </c>
      <c r="P321" s="189" t="s">
        <v>710</v>
      </c>
      <c r="Q321" s="188"/>
      <c r="R321" s="190"/>
      <c r="S321" s="191"/>
      <c r="T321" s="188" t="s">
        <v>708</v>
      </c>
      <c r="U321" s="189" t="s">
        <v>711</v>
      </c>
      <c r="V321" s="144">
        <f>SUM(Obsterlös!L59,Obsterlös!M59)*(1+3%)^25</f>
        <v>6837.2318292858354</v>
      </c>
    </row>
    <row r="322" spans="1:22" s="371" customFormat="1" ht="85.5" customHeight="1" x14ac:dyDescent="0.25">
      <c r="A322" s="456">
        <v>25</v>
      </c>
      <c r="B322" s="322"/>
      <c r="C322" s="322"/>
      <c r="D322" s="322"/>
      <c r="E322" s="323"/>
      <c r="F322" s="324"/>
      <c r="G322" s="113" t="s">
        <v>680</v>
      </c>
      <c r="H322" s="184" t="s">
        <v>706</v>
      </c>
      <c r="I322" s="185">
        <v>2050</v>
      </c>
      <c r="J322" s="278">
        <f>Obsterlös!T54</f>
        <v>222.85714285714286</v>
      </c>
      <c r="K322" s="186">
        <v>1</v>
      </c>
      <c r="L322" s="186">
        <v>2</v>
      </c>
      <c r="M322" s="187">
        <f t="shared" si="217"/>
        <v>3.7142857142857144</v>
      </c>
      <c r="N322" s="187">
        <f t="shared" si="218"/>
        <v>7.4285714285714288</v>
      </c>
      <c r="O322" s="188" t="s">
        <v>687</v>
      </c>
      <c r="P322" s="189" t="s">
        <v>710</v>
      </c>
      <c r="Q322" s="188"/>
      <c r="R322" s="190"/>
      <c r="S322" s="191"/>
      <c r="T322" s="188" t="s">
        <v>708</v>
      </c>
      <c r="U322" s="189" t="s">
        <v>711</v>
      </c>
      <c r="V322" s="144">
        <f>SUM(Obsterlös!L60,Obsterlös!M60)*(1+3%)^25</f>
        <v>7330.3165317194025</v>
      </c>
    </row>
    <row r="323" spans="1:22" s="371" customFormat="1" ht="78" customHeight="1" x14ac:dyDescent="0.25">
      <c r="A323" s="456">
        <v>25</v>
      </c>
      <c r="B323" s="322"/>
      <c r="C323" s="322"/>
      <c r="D323" s="322"/>
      <c r="E323" s="323"/>
      <c r="F323" s="324"/>
      <c r="G323" s="113" t="s">
        <v>681</v>
      </c>
      <c r="H323" s="184" t="s">
        <v>705</v>
      </c>
      <c r="I323" s="185">
        <v>2050</v>
      </c>
      <c r="J323" s="278">
        <f>Obsterlös!T55</f>
        <v>229.33333333333334</v>
      </c>
      <c r="K323" s="186">
        <v>1</v>
      </c>
      <c r="L323" s="186">
        <v>2</v>
      </c>
      <c r="M323" s="187">
        <f t="shared" si="217"/>
        <v>3.8222222222222224</v>
      </c>
      <c r="N323" s="187">
        <f t="shared" si="218"/>
        <v>7.6444444444444448</v>
      </c>
      <c r="O323" s="188" t="s">
        <v>687</v>
      </c>
      <c r="P323" s="189" t="s">
        <v>692</v>
      </c>
      <c r="Q323" s="188"/>
      <c r="R323" s="190"/>
      <c r="S323" s="191"/>
      <c r="T323" s="188" t="s">
        <v>690</v>
      </c>
      <c r="U323" s="189" t="s">
        <v>711</v>
      </c>
      <c r="V323" s="144">
        <f>Obsterlös!L64*(1+3%)^25</f>
        <v>6002.9450754358168</v>
      </c>
    </row>
    <row r="324" spans="1:22" s="371" customFormat="1" ht="78" customHeight="1" x14ac:dyDescent="0.25">
      <c r="A324" s="456">
        <v>25</v>
      </c>
      <c r="B324" s="322"/>
      <c r="C324" s="322"/>
      <c r="D324" s="322"/>
      <c r="E324" s="323"/>
      <c r="F324" s="324"/>
      <c r="G324" s="113" t="s">
        <v>3</v>
      </c>
      <c r="H324" s="184" t="s">
        <v>779</v>
      </c>
      <c r="I324" s="185">
        <v>2050</v>
      </c>
      <c r="J324" s="278">
        <f>SUM(J321:J323)*0.05</f>
        <v>35.276190476190479</v>
      </c>
      <c r="K324" s="186">
        <v>1</v>
      </c>
      <c r="L324" s="186">
        <v>2</v>
      </c>
      <c r="M324" s="187">
        <f t="shared" ref="M324:M325" si="219">J324*K324/60</f>
        <v>0.58793650793650798</v>
      </c>
      <c r="N324" s="187">
        <f t="shared" ref="N324:N325" si="220">J324*L324/60</f>
        <v>1.175873015873016</v>
      </c>
      <c r="O324" s="188" t="s">
        <v>687</v>
      </c>
      <c r="P324" s="189" t="s">
        <v>717</v>
      </c>
      <c r="Q324" s="188" t="s">
        <v>423</v>
      </c>
      <c r="R324" s="190" t="s">
        <v>716</v>
      </c>
      <c r="S324" s="191">
        <f>M324*17</f>
        <v>9.9949206349206356</v>
      </c>
      <c r="T324" s="188"/>
      <c r="U324" s="189" t="s">
        <v>469</v>
      </c>
      <c r="V324" s="144"/>
    </row>
    <row r="325" spans="1:22" s="371" customFormat="1" ht="139.5" customHeight="1" x14ac:dyDescent="0.25">
      <c r="A325" s="456">
        <v>25</v>
      </c>
      <c r="B325" s="322"/>
      <c r="C325" s="322"/>
      <c r="D325" s="322"/>
      <c r="E325" s="323"/>
      <c r="F325" s="324"/>
      <c r="G325" s="113" t="s">
        <v>727</v>
      </c>
      <c r="H325" s="184" t="s">
        <v>728</v>
      </c>
      <c r="I325" s="185">
        <v>2050</v>
      </c>
      <c r="J325" s="278">
        <f>SUM(Obsterlös!J48:J49)*0.2*0.5/5*1.5*4</f>
        <v>936</v>
      </c>
      <c r="K325" s="186">
        <v>0</v>
      </c>
      <c r="L325" s="186">
        <v>1</v>
      </c>
      <c r="M325" s="187">
        <f t="shared" si="219"/>
        <v>0</v>
      </c>
      <c r="N325" s="187">
        <f t="shared" si="220"/>
        <v>15.6</v>
      </c>
      <c r="O325" s="188" t="s">
        <v>729</v>
      </c>
      <c r="P325" s="189"/>
      <c r="Q325" s="188"/>
      <c r="R325" s="312"/>
      <c r="S325" s="191"/>
      <c r="T325" s="188" t="s">
        <v>770</v>
      </c>
      <c r="U325" s="189" t="s">
        <v>469</v>
      </c>
      <c r="V325" s="144"/>
    </row>
    <row r="326" spans="1:22" s="371" customFormat="1" ht="93" customHeight="1" thickBot="1" x14ac:dyDescent="0.3">
      <c r="A326" s="456">
        <v>25</v>
      </c>
      <c r="B326" s="322"/>
      <c r="C326" s="322"/>
      <c r="D326" s="322"/>
      <c r="E326" s="323"/>
      <c r="F326" s="324"/>
      <c r="G326" s="113" t="s">
        <v>752</v>
      </c>
      <c r="H326" s="184" t="s">
        <v>761</v>
      </c>
      <c r="I326" s="185">
        <v>2033</v>
      </c>
      <c r="J326" s="278">
        <f>Haselnusserlös!A38/2</f>
        <v>204.072</v>
      </c>
      <c r="K326" s="186">
        <v>1</v>
      </c>
      <c r="L326" s="186">
        <v>1</v>
      </c>
      <c r="M326" s="187">
        <f t="shared" ref="M326" si="221">J326*K326/60</f>
        <v>3.4012000000000002</v>
      </c>
      <c r="N326" s="187">
        <f t="shared" ref="N326" si="222">J326*L326/60</f>
        <v>3.4012000000000002</v>
      </c>
      <c r="O326" s="188" t="s">
        <v>760</v>
      </c>
      <c r="P326" s="279" t="s">
        <v>754</v>
      </c>
      <c r="Q326" s="315" t="s">
        <v>762</v>
      </c>
      <c r="R326" s="190" t="s">
        <v>763</v>
      </c>
      <c r="S326" s="191"/>
      <c r="T326" s="316" t="s">
        <v>764</v>
      </c>
      <c r="U326" s="316" t="s">
        <v>469</v>
      </c>
      <c r="V326" s="144">
        <f>Haselnusserlös!A31*(1+3%)^25</f>
        <v>2848.5429977359649</v>
      </c>
    </row>
    <row r="327" spans="1:22" s="78" customFormat="1" ht="36" customHeight="1" thickBot="1" x14ac:dyDescent="0.3">
      <c r="A327" s="87">
        <v>25</v>
      </c>
      <c r="B327" s="98">
        <f>(SUM(M317:M326)*D7)*(1+2%)^25</f>
        <v>757.88297033469826</v>
      </c>
      <c r="C327" s="98">
        <f>(SUM(N317:N326)*D8)*(1+2%)^25</f>
        <v>996.42863503687818</v>
      </c>
      <c r="D327" s="88">
        <f>SUM(S317:S326)</f>
        <v>1701.8698524266729</v>
      </c>
      <c r="E327" s="99">
        <f>SUM(B327:D327)</f>
        <v>3456.1814577982495</v>
      </c>
      <c r="F327" s="123">
        <f>SUM(V317:V326)</f>
        <v>23047.176809551569</v>
      </c>
      <c r="G327" s="174"/>
      <c r="H327" s="73"/>
      <c r="I327" s="270"/>
      <c r="J327" s="74"/>
      <c r="K327" s="75"/>
      <c r="L327" s="75"/>
      <c r="M327" s="75"/>
      <c r="N327" s="75"/>
      <c r="O327" s="76"/>
      <c r="P327" s="271"/>
      <c r="Q327" s="177"/>
      <c r="R327" s="178"/>
      <c r="S327" s="179"/>
      <c r="T327" s="77"/>
      <c r="U327" s="180"/>
      <c r="V327" s="144"/>
    </row>
    <row r="328" spans="1:22" x14ac:dyDescent="0.25">
      <c r="G328" s="136"/>
      <c r="H328" s="194"/>
      <c r="I328" s="136"/>
      <c r="J328" s="136"/>
      <c r="K328" s="136"/>
      <c r="L328" s="136"/>
      <c r="M328" s="136"/>
      <c r="N328" s="136"/>
      <c r="O328" s="136"/>
      <c r="P328" s="136"/>
      <c r="Q328" s="136"/>
      <c r="R328" s="136"/>
      <c r="S328" s="136"/>
      <c r="T328" s="136"/>
      <c r="U328" s="195"/>
    </row>
    <row r="329" spans="1:22" x14ac:dyDescent="0.25">
      <c r="G329" s="136"/>
      <c r="H329" s="194"/>
      <c r="I329" s="136"/>
      <c r="J329" s="136"/>
      <c r="K329" s="136"/>
      <c r="L329" s="136"/>
      <c r="M329" s="136"/>
      <c r="N329" s="136"/>
      <c r="O329" s="136"/>
      <c r="P329" s="136"/>
      <c r="Q329" s="136"/>
      <c r="R329" s="136"/>
      <c r="S329" s="136"/>
      <c r="T329" s="136"/>
      <c r="U329" s="195"/>
    </row>
    <row r="330" spans="1:22" x14ac:dyDescent="0.25">
      <c r="G330" s="136"/>
      <c r="H330" s="194"/>
      <c r="I330" s="136"/>
      <c r="J330" s="136"/>
      <c r="K330" s="136"/>
      <c r="L330" s="136"/>
      <c r="M330" s="136"/>
      <c r="N330" s="136"/>
      <c r="O330" s="136"/>
      <c r="P330" s="136"/>
      <c r="Q330" s="136"/>
      <c r="R330" s="136"/>
      <c r="S330" s="136"/>
      <c r="T330" s="136"/>
      <c r="U330" s="195"/>
    </row>
    <row r="331" spans="1:22" x14ac:dyDescent="0.25">
      <c r="G331" s="136"/>
      <c r="H331" s="194"/>
      <c r="I331" s="136"/>
      <c r="J331" s="136"/>
      <c r="K331" s="136"/>
      <c r="L331" s="136"/>
      <c r="M331" s="136"/>
      <c r="N331" s="136"/>
      <c r="O331" s="136"/>
      <c r="P331" s="136"/>
      <c r="Q331" s="136"/>
      <c r="R331" s="136"/>
      <c r="S331" s="136"/>
      <c r="T331" s="136"/>
      <c r="U331" s="195"/>
    </row>
    <row r="332" spans="1:22" x14ac:dyDescent="0.25">
      <c r="G332" s="136"/>
      <c r="H332" s="194"/>
      <c r="I332" s="136"/>
      <c r="J332" s="136"/>
      <c r="K332" s="136"/>
      <c r="L332" s="136"/>
      <c r="M332" s="136"/>
      <c r="N332" s="136"/>
      <c r="O332" s="136"/>
      <c r="P332" s="136"/>
      <c r="Q332" s="136"/>
      <c r="R332" s="136"/>
      <c r="S332" s="136"/>
      <c r="T332" s="136"/>
      <c r="U332" s="195"/>
    </row>
    <row r="333" spans="1:22" x14ac:dyDescent="0.25">
      <c r="G333" s="136"/>
      <c r="H333" s="194"/>
      <c r="I333" s="136"/>
      <c r="J333" s="136"/>
      <c r="K333" s="136"/>
      <c r="L333" s="136"/>
      <c r="M333" s="136"/>
      <c r="N333" s="136"/>
      <c r="O333" s="136"/>
      <c r="P333" s="136"/>
      <c r="Q333" s="136"/>
      <c r="R333" s="136"/>
      <c r="S333" s="136"/>
      <c r="T333" s="136"/>
      <c r="U333" s="195"/>
    </row>
    <row r="334" spans="1:22" x14ac:dyDescent="0.25">
      <c r="G334" s="136"/>
      <c r="H334" s="194"/>
      <c r="I334" s="136"/>
      <c r="J334" s="136"/>
      <c r="K334" s="136"/>
      <c r="L334" s="136"/>
      <c r="M334" s="136"/>
      <c r="N334" s="136"/>
      <c r="O334" s="136"/>
      <c r="P334" s="136"/>
      <c r="Q334" s="136"/>
      <c r="R334" s="136"/>
      <c r="S334" s="136"/>
      <c r="T334" s="136"/>
      <c r="U334" s="195"/>
    </row>
    <row r="335" spans="1:22" x14ac:dyDescent="0.25">
      <c r="G335" s="136"/>
      <c r="H335" s="194"/>
      <c r="I335" s="136"/>
      <c r="J335" s="136"/>
      <c r="K335" s="136"/>
      <c r="L335" s="136"/>
      <c r="M335" s="136"/>
      <c r="N335" s="136"/>
      <c r="O335" s="136"/>
      <c r="P335" s="136"/>
      <c r="Q335" s="136"/>
      <c r="R335" s="136"/>
      <c r="S335" s="136"/>
      <c r="T335" s="136"/>
      <c r="U335" s="195"/>
    </row>
    <row r="336" spans="1:22" x14ac:dyDescent="0.25">
      <c r="G336" s="136"/>
      <c r="H336" s="194"/>
      <c r="I336" s="136"/>
      <c r="J336" s="136"/>
      <c r="K336" s="136"/>
      <c r="L336" s="136"/>
      <c r="M336" s="136"/>
      <c r="N336" s="136"/>
      <c r="O336" s="136"/>
      <c r="P336" s="136"/>
      <c r="Q336" s="136"/>
      <c r="R336" s="136"/>
      <c r="S336" s="136"/>
      <c r="T336" s="136"/>
      <c r="U336" s="195"/>
    </row>
  </sheetData>
  <mergeCells count="5">
    <mergeCell ref="J9:O9"/>
    <mergeCell ref="Q9:S9"/>
    <mergeCell ref="E7:E8"/>
    <mergeCell ref="B7:C7"/>
    <mergeCell ref="B8:C8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A3CC-664A-427B-87D6-902FB6CD5E42}">
  <dimension ref="A1:T64"/>
  <sheetViews>
    <sheetView topLeftCell="A46" workbookViewId="0">
      <selection activeCell="A3" sqref="A3"/>
    </sheetView>
  </sheetViews>
  <sheetFormatPr baseColWidth="10" defaultRowHeight="15.75" x14ac:dyDescent="0.25"/>
  <cols>
    <col min="1" max="1" width="15" customWidth="1"/>
    <col min="11" max="11" width="21.5" customWidth="1"/>
    <col min="13" max="13" width="16.625" customWidth="1"/>
    <col min="16" max="16" width="15.875" customWidth="1"/>
  </cols>
  <sheetData>
    <row r="1" spans="1:20" ht="21" x14ac:dyDescent="0.25">
      <c r="A1" s="233" t="s">
        <v>777</v>
      </c>
    </row>
    <row r="2" spans="1:20" s="115" customFormat="1" ht="38.25" customHeight="1" x14ac:dyDescent="0.25">
      <c r="A2" s="533" t="s">
        <v>678</v>
      </c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211"/>
      <c r="R2" s="211"/>
      <c r="S2" s="211"/>
      <c r="T2" s="211"/>
    </row>
    <row r="3" spans="1:20" s="211" customFormat="1" ht="21" x14ac:dyDescent="0.25">
      <c r="A3" s="233"/>
    </row>
    <row r="4" spans="1:20" s="211" customFormat="1" x14ac:dyDescent="0.25">
      <c r="A4" s="211" t="s">
        <v>786</v>
      </c>
      <c r="B4" s="211" t="s">
        <v>787</v>
      </c>
    </row>
    <row r="5" spans="1:20" s="211" customFormat="1" x14ac:dyDescent="0.25">
      <c r="A5" s="211" t="s">
        <v>788</v>
      </c>
      <c r="B5" s="211" t="s">
        <v>789</v>
      </c>
    </row>
    <row r="6" spans="1:20" s="211" customFormat="1" x14ac:dyDescent="0.25">
      <c r="A6" s="211" t="s">
        <v>790</v>
      </c>
      <c r="B6" s="211" t="s">
        <v>791</v>
      </c>
    </row>
    <row r="7" spans="1:20" s="211" customFormat="1" x14ac:dyDescent="0.25">
      <c r="A7" s="211" t="s">
        <v>786</v>
      </c>
      <c r="B7" s="211" t="s">
        <v>792</v>
      </c>
    </row>
    <row r="8" spans="1:20" s="211" customFormat="1" x14ac:dyDescent="0.25"/>
    <row r="9" spans="1:20" s="211" customFormat="1" x14ac:dyDescent="0.25">
      <c r="A9" s="238" t="s">
        <v>648</v>
      </c>
    </row>
    <row r="10" spans="1:20" s="211" customFormat="1" ht="15.75" customHeight="1" x14ac:dyDescent="0.25">
      <c r="G10" s="321"/>
      <c r="H10" s="514" t="s">
        <v>778</v>
      </c>
      <c r="I10" s="542"/>
      <c r="J10" s="542"/>
      <c r="K10" s="542"/>
      <c r="L10" s="542"/>
      <c r="M10" s="542"/>
      <c r="N10" s="542"/>
      <c r="O10" s="542"/>
    </row>
    <row r="11" spans="1:20" s="211" customFormat="1" x14ac:dyDescent="0.25">
      <c r="A11" s="211" t="s">
        <v>649</v>
      </c>
      <c r="H11" s="542"/>
      <c r="I11" s="542"/>
      <c r="J11" s="542"/>
      <c r="K11" s="542"/>
      <c r="L11" s="542"/>
      <c r="M11" s="542"/>
      <c r="N11" s="542"/>
      <c r="O11" s="542"/>
    </row>
    <row r="12" spans="1:20" s="211" customFormat="1" x14ac:dyDescent="0.25">
      <c r="A12" s="211" t="s">
        <v>650</v>
      </c>
    </row>
    <row r="13" spans="1:20" s="211" customFormat="1" x14ac:dyDescent="0.25">
      <c r="A13" s="211" t="s">
        <v>651</v>
      </c>
    </row>
    <row r="14" spans="1:20" s="211" customFormat="1" x14ac:dyDescent="0.25"/>
    <row r="15" spans="1:20" s="211" customFormat="1" x14ac:dyDescent="0.25">
      <c r="A15" s="211" t="s">
        <v>793</v>
      </c>
      <c r="B15" s="211" t="s">
        <v>795</v>
      </c>
    </row>
    <row r="16" spans="1:20" s="211" customFormat="1" x14ac:dyDescent="0.25">
      <c r="A16" s="211" t="s">
        <v>794</v>
      </c>
      <c r="B16" s="211" t="s">
        <v>796</v>
      </c>
    </row>
    <row r="17" spans="1:15" s="211" customFormat="1" x14ac:dyDescent="0.25"/>
    <row r="19" spans="1:15" s="211" customFormat="1" x14ac:dyDescent="0.25">
      <c r="A19" s="238" t="s">
        <v>652</v>
      </c>
      <c r="H19" s="514" t="s">
        <v>775</v>
      </c>
      <c r="I19" s="542"/>
      <c r="J19" s="542"/>
      <c r="K19" s="542"/>
      <c r="L19" s="542"/>
      <c r="M19" s="542"/>
      <c r="N19" s="542"/>
      <c r="O19" s="542"/>
    </row>
    <row r="20" spans="1:15" s="211" customFormat="1" x14ac:dyDescent="0.25">
      <c r="H20" s="542"/>
      <c r="I20" s="542"/>
      <c r="J20" s="542"/>
      <c r="K20" s="542"/>
      <c r="L20" s="542"/>
      <c r="M20" s="542"/>
      <c r="N20" s="542"/>
      <c r="O20" s="542"/>
    </row>
    <row r="21" spans="1:15" s="211" customFormat="1" x14ac:dyDescent="0.25">
      <c r="A21" s="211" t="s">
        <v>654</v>
      </c>
    </row>
    <row r="22" spans="1:15" s="211" customFormat="1" x14ac:dyDescent="0.25">
      <c r="A22" s="211" t="s">
        <v>653</v>
      </c>
    </row>
    <row r="23" spans="1:15" s="211" customFormat="1" x14ac:dyDescent="0.25"/>
    <row r="24" spans="1:15" s="211" customFormat="1" x14ac:dyDescent="0.25">
      <c r="A24" s="211" t="s">
        <v>793</v>
      </c>
      <c r="B24" s="211" t="s">
        <v>797</v>
      </c>
    </row>
    <row r="25" spans="1:15" s="211" customFormat="1" x14ac:dyDescent="0.25">
      <c r="A25" s="211" t="s">
        <v>794</v>
      </c>
      <c r="B25" s="211" t="s">
        <v>798</v>
      </c>
    </row>
    <row r="26" spans="1:15" s="211" customFormat="1" x14ac:dyDescent="0.25"/>
    <row r="27" spans="1:15" s="211" customFormat="1" x14ac:dyDescent="0.25"/>
    <row r="28" spans="1:15" s="211" customFormat="1" x14ac:dyDescent="0.25">
      <c r="A28" s="238" t="s">
        <v>655</v>
      </c>
      <c r="H28" s="514" t="s">
        <v>775</v>
      </c>
      <c r="I28" s="542"/>
      <c r="J28" s="542"/>
      <c r="K28" s="542"/>
      <c r="L28" s="542"/>
      <c r="M28" s="542"/>
      <c r="N28" s="542"/>
      <c r="O28" s="542"/>
    </row>
    <row r="29" spans="1:15" s="211" customFormat="1" x14ac:dyDescent="0.25">
      <c r="H29" s="542"/>
      <c r="I29" s="542"/>
      <c r="J29" s="542"/>
      <c r="K29" s="542"/>
      <c r="L29" s="542"/>
      <c r="M29" s="542"/>
      <c r="N29" s="542"/>
      <c r="O29" s="542"/>
    </row>
    <row r="30" spans="1:15" s="211" customFormat="1" x14ac:dyDescent="0.25">
      <c r="A30" s="211" t="s">
        <v>663</v>
      </c>
    </row>
    <row r="31" spans="1:15" s="211" customFormat="1" x14ac:dyDescent="0.25">
      <c r="A31" s="211" t="s">
        <v>656</v>
      </c>
    </row>
    <row r="32" spans="1:15" s="211" customFormat="1" x14ac:dyDescent="0.25"/>
    <row r="33" spans="1:15" s="211" customFormat="1" x14ac:dyDescent="0.25">
      <c r="A33" s="211" t="s">
        <v>793</v>
      </c>
      <c r="B33" s="211" t="s">
        <v>818</v>
      </c>
    </row>
    <row r="34" spans="1:15" s="211" customFormat="1" x14ac:dyDescent="0.25"/>
    <row r="35" spans="1:15" s="211" customFormat="1" x14ac:dyDescent="0.25"/>
    <row r="36" spans="1:15" s="211" customFormat="1" x14ac:dyDescent="0.25">
      <c r="A36" s="238" t="s">
        <v>665</v>
      </c>
      <c r="H36" s="514" t="s">
        <v>776</v>
      </c>
      <c r="I36" s="542"/>
      <c r="J36" s="542"/>
      <c r="K36" s="542"/>
      <c r="L36" s="542"/>
      <c r="M36" s="542"/>
      <c r="N36" s="542"/>
      <c r="O36" s="542"/>
    </row>
    <row r="37" spans="1:15" ht="30" customHeight="1" x14ac:dyDescent="0.25">
      <c r="A37" s="543" t="s">
        <v>819</v>
      </c>
      <c r="B37" s="544"/>
      <c r="C37" s="484" t="s">
        <v>820</v>
      </c>
      <c r="D37" s="286"/>
      <c r="E37" s="286"/>
      <c r="H37" s="542"/>
      <c r="I37" s="542"/>
      <c r="J37" s="542"/>
      <c r="K37" s="542"/>
      <c r="L37" s="542"/>
      <c r="M37" s="542"/>
      <c r="N37" s="542"/>
      <c r="O37" s="542"/>
    </row>
    <row r="38" spans="1:15" s="211" customFormat="1" x14ac:dyDescent="0.25">
      <c r="A38" s="211" t="s">
        <v>821</v>
      </c>
      <c r="C38" s="211" t="s">
        <v>822</v>
      </c>
    </row>
    <row r="39" spans="1:15" s="479" customFormat="1" ht="30.75" customHeight="1" x14ac:dyDescent="0.25">
      <c r="A39" s="545" t="s">
        <v>823</v>
      </c>
      <c r="B39" s="544"/>
      <c r="C39" s="485" t="s">
        <v>824</v>
      </c>
    </row>
    <row r="40" spans="1:15" x14ac:dyDescent="0.25">
      <c r="A40" s="291" t="s">
        <v>825</v>
      </c>
      <c r="C40" s="291" t="s">
        <v>826</v>
      </c>
    </row>
    <row r="42" spans="1:15" s="211" customFormat="1" x14ac:dyDescent="0.25">
      <c r="A42" s="238" t="s">
        <v>666</v>
      </c>
    </row>
    <row r="43" spans="1:15" s="210" customFormat="1" ht="31.5" customHeight="1" x14ac:dyDescent="0.25">
      <c r="A43" s="546" t="s">
        <v>827</v>
      </c>
      <c r="B43" s="544"/>
      <c r="C43" s="210" t="s">
        <v>828</v>
      </c>
    </row>
    <row r="44" spans="1:15" s="210" customFormat="1" ht="33" customHeight="1" x14ac:dyDescent="0.25">
      <c r="A44" s="546" t="s">
        <v>823</v>
      </c>
      <c r="B44" s="544"/>
      <c r="C44" s="210" t="s">
        <v>829</v>
      </c>
    </row>
    <row r="45" spans="1:15" s="211" customFormat="1" x14ac:dyDescent="0.25"/>
    <row r="46" spans="1:15" s="211" customFormat="1" x14ac:dyDescent="0.25"/>
    <row r="47" spans="1:15" s="211" customFormat="1" x14ac:dyDescent="0.25">
      <c r="A47" s="238" t="s">
        <v>664</v>
      </c>
      <c r="B47" s="211" t="s">
        <v>671</v>
      </c>
      <c r="C47" s="211" t="s">
        <v>660</v>
      </c>
      <c r="D47" s="211" t="s">
        <v>661</v>
      </c>
      <c r="G47" s="238" t="s">
        <v>664</v>
      </c>
      <c r="H47" s="211" t="s">
        <v>671</v>
      </c>
      <c r="I47" s="211" t="s">
        <v>660</v>
      </c>
      <c r="J47" s="211" t="s">
        <v>661</v>
      </c>
    </row>
    <row r="48" spans="1:15" s="211" customFormat="1" x14ac:dyDescent="0.25">
      <c r="A48" s="330" t="s">
        <v>722</v>
      </c>
      <c r="B48" s="331">
        <v>20</v>
      </c>
      <c r="C48" s="331">
        <v>60</v>
      </c>
      <c r="D48" s="331">
        <v>210</v>
      </c>
      <c r="E48" s="330" t="s">
        <v>662</v>
      </c>
      <c r="G48" s="330" t="s">
        <v>718</v>
      </c>
      <c r="H48" s="331">
        <f>B48*20</f>
        <v>400</v>
      </c>
      <c r="I48" s="331">
        <f t="shared" ref="I48:J48" si="0">C48*20</f>
        <v>1200</v>
      </c>
      <c r="J48" s="331">
        <f t="shared" si="0"/>
        <v>4200</v>
      </c>
      <c r="K48" s="330" t="s">
        <v>668</v>
      </c>
    </row>
    <row r="49" spans="1:20" s="211" customFormat="1" x14ac:dyDescent="0.25">
      <c r="A49" s="332" t="s">
        <v>721</v>
      </c>
      <c r="B49" s="333">
        <v>20</v>
      </c>
      <c r="C49" s="333">
        <v>60</v>
      </c>
      <c r="D49" s="333">
        <v>200</v>
      </c>
      <c r="E49" s="332" t="s">
        <v>662</v>
      </c>
      <c r="G49" s="332" t="s">
        <v>719</v>
      </c>
      <c r="H49" s="333">
        <f>B49*18</f>
        <v>360</v>
      </c>
      <c r="I49" s="333">
        <f t="shared" ref="I49:J49" si="1">C49*18</f>
        <v>1080</v>
      </c>
      <c r="J49" s="333">
        <f t="shared" si="1"/>
        <v>3600</v>
      </c>
      <c r="K49" s="332" t="s">
        <v>669</v>
      </c>
    </row>
    <row r="50" spans="1:20" s="211" customFormat="1" x14ac:dyDescent="0.25">
      <c r="A50" s="334" t="s">
        <v>723</v>
      </c>
      <c r="B50" s="335">
        <v>10</v>
      </c>
      <c r="C50" s="335">
        <v>20</v>
      </c>
      <c r="D50" s="335">
        <v>55</v>
      </c>
      <c r="E50" s="332" t="s">
        <v>662</v>
      </c>
      <c r="G50" s="334" t="s">
        <v>720</v>
      </c>
      <c r="H50" s="335">
        <f>B50*8</f>
        <v>80</v>
      </c>
      <c r="I50" s="335">
        <f t="shared" ref="I50:J50" si="2">C50*8</f>
        <v>160</v>
      </c>
      <c r="J50" s="335">
        <f t="shared" si="2"/>
        <v>440</v>
      </c>
      <c r="K50" s="332" t="s">
        <v>670</v>
      </c>
    </row>
    <row r="51" spans="1:20" s="211" customFormat="1" ht="16.5" thickBot="1" x14ac:dyDescent="0.3"/>
    <row r="52" spans="1:20" ht="50.25" customHeight="1" x14ac:dyDescent="0.25">
      <c r="A52" s="336" t="s">
        <v>701</v>
      </c>
      <c r="B52" s="301" t="s">
        <v>697</v>
      </c>
      <c r="C52" s="302" t="s">
        <v>698</v>
      </c>
      <c r="D52" s="302" t="s">
        <v>699</v>
      </c>
      <c r="E52" s="304" t="s">
        <v>696</v>
      </c>
      <c r="F52" s="304" t="s">
        <v>695</v>
      </c>
      <c r="G52" s="307" t="s">
        <v>694</v>
      </c>
      <c r="H52" s="320"/>
      <c r="I52" s="353"/>
      <c r="J52" s="211"/>
      <c r="K52" s="238" t="s">
        <v>701</v>
      </c>
      <c r="L52" s="303" t="s">
        <v>697</v>
      </c>
      <c r="M52" s="305" t="s">
        <v>702</v>
      </c>
      <c r="N52" s="355" t="s">
        <v>700</v>
      </c>
      <c r="O52" s="303" t="s">
        <v>698</v>
      </c>
      <c r="P52" s="306" t="s">
        <v>703</v>
      </c>
      <c r="Q52" s="355" t="s">
        <v>700</v>
      </c>
      <c r="R52" s="303" t="s">
        <v>699</v>
      </c>
      <c r="S52" s="308" t="s">
        <v>704</v>
      </c>
      <c r="T52" s="355" t="s">
        <v>700</v>
      </c>
    </row>
    <row r="53" spans="1:20" x14ac:dyDescent="0.25">
      <c r="A53" s="330" t="s">
        <v>722</v>
      </c>
      <c r="B53" s="287">
        <v>10</v>
      </c>
      <c r="C53" s="288">
        <v>15</v>
      </c>
      <c r="D53" s="288">
        <v>20</v>
      </c>
      <c r="E53" s="283">
        <f>(1/100*B48)*60</f>
        <v>12</v>
      </c>
      <c r="F53" s="283">
        <f>(1/100*C48)*60</f>
        <v>36</v>
      </c>
      <c r="G53" s="292">
        <f>(1/700*D48)*60</f>
        <v>18</v>
      </c>
      <c r="H53" s="330" t="s">
        <v>667</v>
      </c>
      <c r="I53" s="229"/>
      <c r="J53" s="211"/>
      <c r="K53" s="341" t="s">
        <v>685</v>
      </c>
      <c r="L53" s="295">
        <f>B53*20</f>
        <v>200</v>
      </c>
      <c r="M53" s="285">
        <f>E53*20</f>
        <v>240</v>
      </c>
      <c r="N53" s="356">
        <f>(SUM(L53:M53))/3</f>
        <v>146.66666666666666</v>
      </c>
      <c r="O53" s="295">
        <f>C53*20</f>
        <v>300</v>
      </c>
      <c r="P53" s="285">
        <f>F53*20</f>
        <v>720</v>
      </c>
      <c r="Q53" s="358">
        <f>(SUM(O53:P53))/3</f>
        <v>340</v>
      </c>
      <c r="R53" s="299">
        <f>D53*20</f>
        <v>400</v>
      </c>
      <c r="S53" s="293">
        <f>G53*20</f>
        <v>360</v>
      </c>
      <c r="T53" s="358">
        <f>(SUM(R53:S53))/3</f>
        <v>253.33333333333334</v>
      </c>
    </row>
    <row r="54" spans="1:20" x14ac:dyDescent="0.25">
      <c r="A54" s="332" t="s">
        <v>721</v>
      </c>
      <c r="B54" s="287">
        <v>10</v>
      </c>
      <c r="C54" s="288">
        <v>15</v>
      </c>
      <c r="D54" s="288">
        <v>20</v>
      </c>
      <c r="E54" s="283">
        <f>(1/100*B49)*60</f>
        <v>12</v>
      </c>
      <c r="F54" s="283">
        <f>(1/100*C49)*60</f>
        <v>36</v>
      </c>
      <c r="G54" s="292">
        <f>(1/700*D49)*60</f>
        <v>17.142857142857142</v>
      </c>
      <c r="H54" s="330" t="s">
        <v>667</v>
      </c>
      <c r="I54" s="229"/>
      <c r="J54" s="211"/>
      <c r="K54" s="354" t="s">
        <v>686</v>
      </c>
      <c r="L54" s="296">
        <f>B54*18</f>
        <v>180</v>
      </c>
      <c r="M54" s="285">
        <f>E54*18</f>
        <v>216</v>
      </c>
      <c r="N54" s="356">
        <f t="shared" ref="N54:N55" si="3">(SUM(L54:M54))/3</f>
        <v>132</v>
      </c>
      <c r="O54" s="295">
        <f>C54*18</f>
        <v>270</v>
      </c>
      <c r="P54" s="285">
        <f>F54*18</f>
        <v>648</v>
      </c>
      <c r="Q54" s="358">
        <f t="shared" ref="Q54:Q55" si="4">(SUM(O54:P54))/3</f>
        <v>306</v>
      </c>
      <c r="R54" s="299">
        <f>D54*18</f>
        <v>360</v>
      </c>
      <c r="S54" s="293">
        <f>G54*18</f>
        <v>308.57142857142856</v>
      </c>
      <c r="T54" s="358">
        <f t="shared" ref="T54:T55" si="5">(SUM(R54:S54))/3</f>
        <v>222.85714285714286</v>
      </c>
    </row>
    <row r="55" spans="1:20" ht="16.5" thickBot="1" x14ac:dyDescent="0.3">
      <c r="A55" s="334" t="s">
        <v>723</v>
      </c>
      <c r="B55" s="289">
        <v>10</v>
      </c>
      <c r="C55" s="290">
        <v>15</v>
      </c>
      <c r="D55" s="290">
        <v>20</v>
      </c>
      <c r="E55" s="284">
        <f>(1/50*B50)*60</f>
        <v>12</v>
      </c>
      <c r="F55" s="284">
        <f>(1/50*C50)*60</f>
        <v>24</v>
      </c>
      <c r="G55" s="284">
        <f>(1/50*D50)*60</f>
        <v>66</v>
      </c>
      <c r="H55" s="332" t="s">
        <v>667</v>
      </c>
      <c r="I55" s="229"/>
      <c r="J55" s="211"/>
      <c r="K55" s="351" t="s">
        <v>684</v>
      </c>
      <c r="L55" s="297">
        <f>B55*8</f>
        <v>80</v>
      </c>
      <c r="M55" s="294">
        <f>E55*8</f>
        <v>96</v>
      </c>
      <c r="N55" s="357">
        <f t="shared" si="3"/>
        <v>58.666666666666664</v>
      </c>
      <c r="O55" s="298">
        <f>C55*8</f>
        <v>120</v>
      </c>
      <c r="P55" s="294">
        <f>F55*8</f>
        <v>192</v>
      </c>
      <c r="Q55" s="357">
        <f t="shared" si="4"/>
        <v>104</v>
      </c>
      <c r="R55" s="300">
        <f>D55*8</f>
        <v>160</v>
      </c>
      <c r="S55" s="294">
        <f>G55*8</f>
        <v>528</v>
      </c>
      <c r="T55" s="357">
        <f t="shared" si="5"/>
        <v>229.33333333333334</v>
      </c>
    </row>
    <row r="56" spans="1:20" ht="16.5" thickBot="1" x14ac:dyDescent="0.3">
      <c r="A56" s="211"/>
      <c r="Q56" s="211"/>
      <c r="T56" s="211"/>
    </row>
    <row r="57" spans="1:20" ht="31.5" x14ac:dyDescent="0.25">
      <c r="A57" s="328" t="s">
        <v>724</v>
      </c>
      <c r="B57" s="337" t="s">
        <v>672</v>
      </c>
      <c r="C57" s="337" t="s">
        <v>673</v>
      </c>
      <c r="D57" s="211"/>
      <c r="E57" s="211"/>
      <c r="F57" s="211"/>
      <c r="G57" s="338" t="s">
        <v>674</v>
      </c>
      <c r="H57" s="339" t="s">
        <v>675</v>
      </c>
      <c r="I57" s="340" t="s">
        <v>676</v>
      </c>
      <c r="J57" s="339" t="s">
        <v>675</v>
      </c>
      <c r="K57" s="340" t="s">
        <v>676</v>
      </c>
      <c r="L57" s="339" t="s">
        <v>675</v>
      </c>
      <c r="M57" s="340" t="s">
        <v>676</v>
      </c>
      <c r="N57" s="314" t="s">
        <v>725</v>
      </c>
      <c r="T57" s="211"/>
    </row>
    <row r="58" spans="1:20" x14ac:dyDescent="0.25">
      <c r="A58" s="330" t="s">
        <v>657</v>
      </c>
      <c r="B58" s="331">
        <v>3.25</v>
      </c>
      <c r="C58" s="331">
        <v>0.17</v>
      </c>
      <c r="D58" s="211"/>
      <c r="E58" s="211"/>
      <c r="F58" s="211"/>
      <c r="G58" s="330"/>
      <c r="H58" s="534" t="s">
        <v>671</v>
      </c>
      <c r="I58" s="535"/>
      <c r="J58" s="536" t="s">
        <v>660</v>
      </c>
      <c r="K58" s="537"/>
      <c r="L58" s="538" t="s">
        <v>661</v>
      </c>
      <c r="M58" s="539"/>
      <c r="N58" s="313"/>
    </row>
    <row r="59" spans="1:20" x14ac:dyDescent="0.25">
      <c r="A59" s="332" t="s">
        <v>658</v>
      </c>
      <c r="B59" s="333">
        <v>4.3</v>
      </c>
      <c r="C59" s="333">
        <v>0.15</v>
      </c>
      <c r="D59" s="211"/>
      <c r="E59" s="211"/>
      <c r="F59" s="211"/>
      <c r="G59" s="341" t="s">
        <v>685</v>
      </c>
      <c r="H59" s="342">
        <f>B58*H48*0.2</f>
        <v>260</v>
      </c>
      <c r="I59" s="343">
        <f>H48*0.75*C58</f>
        <v>51.000000000000007</v>
      </c>
      <c r="J59" s="342">
        <f>B58*I48*0.2</f>
        <v>780</v>
      </c>
      <c r="K59" s="343">
        <f>C58*I48*0.75</f>
        <v>153.00000000000003</v>
      </c>
      <c r="L59" s="342">
        <f>B58*J48*0.2</f>
        <v>2730</v>
      </c>
      <c r="M59" s="343">
        <f>C58*J48*0.75</f>
        <v>535.5</v>
      </c>
      <c r="N59" s="313"/>
    </row>
    <row r="60" spans="1:20" ht="16.5" thickBot="1" x14ac:dyDescent="0.3">
      <c r="A60" s="334" t="s">
        <v>659</v>
      </c>
      <c r="B60" s="335">
        <v>7.24</v>
      </c>
      <c r="C60" s="335">
        <v>0</v>
      </c>
      <c r="D60" s="211"/>
      <c r="E60" s="211"/>
      <c r="F60" s="211"/>
      <c r="G60" s="341" t="s">
        <v>686</v>
      </c>
      <c r="H60" s="344">
        <f t="shared" ref="H60" si="6">B59*H49*0.2</f>
        <v>309.60000000000002</v>
      </c>
      <c r="I60" s="345">
        <f t="shared" ref="I60" si="7">H49*0.75*C59</f>
        <v>40.5</v>
      </c>
      <c r="J60" s="344">
        <f>B59*I49*0.2</f>
        <v>928.80000000000007</v>
      </c>
      <c r="K60" s="345">
        <f>C59*I49*0.75</f>
        <v>121.5</v>
      </c>
      <c r="L60" s="344">
        <f>B59*J49*0.2</f>
        <v>3096</v>
      </c>
      <c r="M60" s="345">
        <f>C59*J49*0.75</f>
        <v>405</v>
      </c>
      <c r="N60" s="313"/>
    </row>
    <row r="61" spans="1:20" ht="16.5" thickBot="1" x14ac:dyDescent="0.3">
      <c r="B61" s="211"/>
      <c r="C61" s="211"/>
      <c r="D61" s="211"/>
      <c r="E61" s="211"/>
      <c r="F61" s="211"/>
      <c r="G61" s="330"/>
      <c r="H61" s="346"/>
      <c r="I61" s="346"/>
      <c r="J61" s="347"/>
      <c r="K61" s="347"/>
      <c r="L61" s="347"/>
      <c r="M61" s="347"/>
      <c r="N61" s="313"/>
    </row>
    <row r="62" spans="1:20" ht="31.5" x14ac:dyDescent="0.25">
      <c r="B62" s="211"/>
      <c r="C62" s="211"/>
      <c r="D62" s="211"/>
      <c r="E62" s="211"/>
      <c r="F62" s="211"/>
      <c r="G62" s="540" t="s">
        <v>674</v>
      </c>
      <c r="H62" s="339" t="s">
        <v>677</v>
      </c>
      <c r="I62" s="348"/>
      <c r="J62" s="339" t="s">
        <v>677</v>
      </c>
      <c r="K62" s="348"/>
      <c r="L62" s="339" t="s">
        <v>677</v>
      </c>
      <c r="M62" s="348"/>
      <c r="N62" s="314" t="s">
        <v>726</v>
      </c>
    </row>
    <row r="63" spans="1:20" x14ac:dyDescent="0.25">
      <c r="B63" s="211"/>
      <c r="C63" s="211"/>
      <c r="D63" s="211"/>
      <c r="E63" s="211"/>
      <c r="F63" s="211"/>
      <c r="G63" s="541"/>
      <c r="H63" s="349" t="s">
        <v>671</v>
      </c>
      <c r="I63" s="350"/>
      <c r="J63" s="349" t="s">
        <v>660</v>
      </c>
      <c r="K63" s="350"/>
      <c r="L63" s="349" t="s">
        <v>661</v>
      </c>
      <c r="M63" s="350"/>
      <c r="N63" s="313"/>
    </row>
    <row r="64" spans="1:20" ht="32.25" thickBot="1" x14ac:dyDescent="0.3">
      <c r="B64" s="211"/>
      <c r="C64" s="211"/>
      <c r="D64" s="211"/>
      <c r="E64" s="211"/>
      <c r="F64" s="211"/>
      <c r="G64" s="351" t="s">
        <v>684</v>
      </c>
      <c r="H64" s="344">
        <f>H50*0.9*B60</f>
        <v>521.28</v>
      </c>
      <c r="I64" s="352"/>
      <c r="J64" s="344">
        <f>I50*0.9*B60</f>
        <v>1042.56</v>
      </c>
      <c r="K64" s="352"/>
      <c r="L64" s="344">
        <f>J50*0.9*B60</f>
        <v>2867.04</v>
      </c>
      <c r="M64" s="352"/>
    </row>
  </sheetData>
  <mergeCells count="13">
    <mergeCell ref="A2:P2"/>
    <mergeCell ref="H58:I58"/>
    <mergeCell ref="J58:K58"/>
    <mergeCell ref="L58:M58"/>
    <mergeCell ref="G62:G63"/>
    <mergeCell ref="H28:O29"/>
    <mergeCell ref="H36:O37"/>
    <mergeCell ref="H19:O20"/>
    <mergeCell ref="H10:O11"/>
    <mergeCell ref="A37:B37"/>
    <mergeCell ref="A39:B39"/>
    <mergeCell ref="A43:B43"/>
    <mergeCell ref="A44:B44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92A50-3396-47B4-AC19-492735125973}">
  <dimension ref="A1:T25"/>
  <sheetViews>
    <sheetView zoomScale="90" zoomScaleNormal="90" workbookViewId="0">
      <selection activeCell="A3" sqref="A3"/>
    </sheetView>
  </sheetViews>
  <sheetFormatPr baseColWidth="10" defaultRowHeight="15.75" x14ac:dyDescent="0.25"/>
  <cols>
    <col min="1" max="1" width="17.75" customWidth="1"/>
    <col min="17" max="17" width="32.125" customWidth="1"/>
  </cols>
  <sheetData>
    <row r="1" spans="1:20" ht="36.75" customHeight="1" x14ac:dyDescent="0.25">
      <c r="A1" s="233" t="s">
        <v>781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09"/>
      <c r="M1" s="211"/>
      <c r="N1" s="211"/>
      <c r="O1" s="211"/>
      <c r="P1" s="211"/>
      <c r="Q1" s="211"/>
      <c r="R1" s="211"/>
      <c r="S1" s="211"/>
      <c r="T1" s="211"/>
    </row>
    <row r="2" spans="1:20" ht="42.75" customHeight="1" x14ac:dyDescent="0.25">
      <c r="A2" s="547" t="s">
        <v>641</v>
      </c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211"/>
      <c r="R2" s="211"/>
      <c r="S2" s="211"/>
      <c r="T2" s="211"/>
    </row>
    <row r="3" spans="1:20" s="115" customFormat="1" ht="21" customHeight="1" x14ac:dyDescent="0.25">
      <c r="A3" s="234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0"/>
      <c r="M3" s="211"/>
      <c r="N3" s="211"/>
      <c r="O3" s="211"/>
      <c r="P3" s="211"/>
      <c r="Q3" s="211"/>
      <c r="R3" s="211"/>
      <c r="S3" s="211"/>
      <c r="T3" s="211"/>
    </row>
    <row r="4" spans="1:20" s="115" customFormat="1" ht="19.5" customHeight="1" x14ac:dyDescent="0.25">
      <c r="A4" s="211" t="s">
        <v>801</v>
      </c>
      <c r="B4" s="211" t="s">
        <v>805</v>
      </c>
      <c r="C4" s="211"/>
      <c r="D4" s="211"/>
      <c r="E4" s="211"/>
      <c r="F4" s="211"/>
      <c r="G4" s="211"/>
      <c r="H4" s="211"/>
      <c r="I4" s="211"/>
      <c r="J4" s="211"/>
      <c r="K4" s="211"/>
      <c r="L4" s="210"/>
      <c r="M4" s="211"/>
      <c r="N4" s="211"/>
      <c r="O4" s="211"/>
      <c r="P4" s="211"/>
      <c r="Q4" s="211"/>
      <c r="R4" s="211"/>
      <c r="S4" s="211"/>
      <c r="T4" s="211"/>
    </row>
    <row r="5" spans="1:20" x14ac:dyDescent="0.25">
      <c r="A5" s="211"/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</row>
    <row r="6" spans="1:20" ht="18.75" x14ac:dyDescent="0.3">
      <c r="A6" s="211" t="s">
        <v>802</v>
      </c>
      <c r="B6" s="211" t="s">
        <v>807</v>
      </c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35"/>
      <c r="R6" s="211"/>
      <c r="S6" s="211"/>
      <c r="T6" s="211"/>
    </row>
    <row r="7" spans="1:20" ht="18.75" x14ac:dyDescent="0.3">
      <c r="A7" s="211"/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35"/>
      <c r="R7" s="211"/>
      <c r="S7" s="211"/>
      <c r="T7" s="211"/>
    </row>
    <row r="8" spans="1:20" ht="18.75" x14ac:dyDescent="0.3">
      <c r="A8" s="211" t="s">
        <v>803</v>
      </c>
      <c r="B8" s="211" t="s">
        <v>806</v>
      </c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35"/>
      <c r="R8" s="236"/>
      <c r="S8" s="211"/>
      <c r="T8" s="211"/>
    </row>
    <row r="9" spans="1:20" x14ac:dyDescent="0.25">
      <c r="A9" s="211"/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36"/>
      <c r="R9" s="236"/>
      <c r="S9" s="211"/>
      <c r="T9" s="211"/>
    </row>
    <row r="10" spans="1:20" x14ac:dyDescent="0.25">
      <c r="A10" s="211" t="s">
        <v>804</v>
      </c>
      <c r="B10" s="211" t="s">
        <v>809</v>
      </c>
      <c r="C10" s="211"/>
      <c r="D10" s="211"/>
      <c r="E10" s="211"/>
      <c r="F10" s="211"/>
      <c r="G10" s="211"/>
      <c r="H10" s="211" t="s">
        <v>808</v>
      </c>
      <c r="I10" s="211"/>
      <c r="J10" s="211"/>
      <c r="K10" s="211"/>
      <c r="L10" s="211"/>
      <c r="M10" s="211"/>
      <c r="N10" s="211"/>
      <c r="O10" s="211"/>
      <c r="P10" s="211"/>
      <c r="Q10" s="236"/>
      <c r="R10" s="236"/>
      <c r="S10" s="211"/>
      <c r="T10" s="211"/>
    </row>
    <row r="11" spans="1:20" x14ac:dyDescent="0.25">
      <c r="A11" s="211"/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36"/>
      <c r="R11" s="236"/>
      <c r="S11" s="211"/>
      <c r="T11" s="211"/>
    </row>
    <row r="12" spans="1:20" x14ac:dyDescent="0.25">
      <c r="A12" s="211"/>
      <c r="B12" s="211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37"/>
      <c r="R12" s="237"/>
      <c r="S12" s="211"/>
      <c r="T12" s="211"/>
    </row>
    <row r="13" spans="1:20" x14ac:dyDescent="0.25">
      <c r="A13" s="211"/>
      <c r="B13" s="211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37"/>
      <c r="R13" s="237"/>
      <c r="S13" s="211"/>
      <c r="T13" s="211"/>
    </row>
    <row r="14" spans="1:20" ht="18.75" x14ac:dyDescent="0.3">
      <c r="A14" s="480" t="s">
        <v>642</v>
      </c>
      <c r="B14" s="481"/>
      <c r="C14" s="481"/>
      <c r="D14" s="481"/>
      <c r="E14" s="48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22"/>
      <c r="R14" s="273"/>
      <c r="S14" s="211"/>
      <c r="T14" s="211"/>
    </row>
    <row r="15" spans="1:20" ht="21" customHeight="1" x14ac:dyDescent="0.25">
      <c r="A15" s="210" t="s">
        <v>810</v>
      </c>
      <c r="B15" s="211"/>
      <c r="C15" s="211"/>
      <c r="D15" s="211"/>
      <c r="E15" s="211"/>
      <c r="F15" s="211"/>
      <c r="G15" s="211"/>
      <c r="H15" s="514" t="s">
        <v>811</v>
      </c>
      <c r="I15" s="542"/>
      <c r="J15" s="542"/>
      <c r="K15" s="542"/>
      <c r="L15" s="542"/>
      <c r="M15" s="542"/>
      <c r="N15" s="542"/>
      <c r="O15" s="542"/>
      <c r="P15" s="211"/>
      <c r="Q15" s="274"/>
      <c r="R15" s="275"/>
      <c r="S15" s="211"/>
      <c r="T15" s="211"/>
    </row>
    <row r="16" spans="1:20" ht="20.25" customHeight="1" x14ac:dyDescent="0.25">
      <c r="A16" s="211" t="s">
        <v>462</v>
      </c>
      <c r="B16" s="211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74"/>
      <c r="R16" s="276"/>
      <c r="S16" s="211"/>
      <c r="T16" s="211"/>
    </row>
    <row r="17" spans="1:20" ht="20.25" customHeight="1" x14ac:dyDescent="0.25">
      <c r="A17" s="211"/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74"/>
      <c r="R17" s="275"/>
      <c r="S17" s="211"/>
      <c r="T17" s="211"/>
    </row>
    <row r="18" spans="1:20" s="477" customFormat="1" ht="34.5" customHeight="1" x14ac:dyDescent="0.25">
      <c r="A18" s="478" t="s">
        <v>812</v>
      </c>
      <c r="B18" s="476" t="s">
        <v>815</v>
      </c>
      <c r="C18" s="476"/>
      <c r="D18" s="476"/>
      <c r="E18" s="476"/>
      <c r="F18" s="476"/>
      <c r="G18" s="476"/>
      <c r="H18" s="476"/>
      <c r="I18" s="476"/>
      <c r="J18" s="476"/>
      <c r="K18" s="476"/>
      <c r="L18" s="476"/>
      <c r="M18" s="476"/>
      <c r="N18" s="476"/>
      <c r="O18" s="476"/>
      <c r="P18" s="476"/>
      <c r="Q18" s="274"/>
      <c r="R18" s="277"/>
      <c r="S18" s="476"/>
      <c r="T18" s="476"/>
    </row>
    <row r="19" spans="1:20" s="477" customFormat="1" ht="21" customHeight="1" x14ac:dyDescent="0.25">
      <c r="A19" s="328" t="s">
        <v>813</v>
      </c>
      <c r="B19" s="476" t="s">
        <v>816</v>
      </c>
      <c r="C19" s="476"/>
      <c r="D19" s="476"/>
      <c r="E19" s="476"/>
      <c r="F19" s="476"/>
      <c r="G19" s="476"/>
      <c r="H19" s="476"/>
      <c r="I19" s="476"/>
      <c r="J19" s="476"/>
      <c r="K19" s="476"/>
      <c r="L19" s="476"/>
      <c r="M19" s="476"/>
      <c r="N19" s="476"/>
      <c r="O19" s="476"/>
      <c r="P19" s="476"/>
      <c r="Q19" s="482"/>
      <c r="R19" s="483"/>
      <c r="S19" s="476"/>
      <c r="T19" s="476"/>
    </row>
    <row r="20" spans="1:20" s="477" customFormat="1" ht="21" customHeight="1" x14ac:dyDescent="0.25">
      <c r="A20" s="328" t="s">
        <v>814</v>
      </c>
      <c r="B20" s="234" t="s">
        <v>817</v>
      </c>
      <c r="C20" s="476"/>
      <c r="D20" s="476"/>
      <c r="E20" s="476"/>
      <c r="F20" s="476"/>
      <c r="G20" s="476"/>
      <c r="H20" s="476"/>
      <c r="I20" s="476"/>
      <c r="J20" s="476"/>
      <c r="K20" s="476"/>
      <c r="L20" s="476"/>
      <c r="M20" s="476"/>
      <c r="N20" s="476"/>
      <c r="O20" s="476"/>
      <c r="P20" s="476"/>
      <c r="Q20" s="206"/>
      <c r="R20" s="483"/>
      <c r="S20" s="476"/>
      <c r="T20" s="476"/>
    </row>
    <row r="21" spans="1:20" ht="21" customHeight="1" x14ac:dyDescent="0.25">
      <c r="A21" s="238"/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06"/>
      <c r="R21" s="237"/>
      <c r="S21" s="211"/>
      <c r="T21" s="211"/>
    </row>
    <row r="22" spans="1:20" x14ac:dyDescent="0.25">
      <c r="A22" s="239" t="s">
        <v>456</v>
      </c>
      <c r="B22" s="239"/>
      <c r="C22" s="239"/>
      <c r="D22" s="239"/>
      <c r="E22" s="239"/>
      <c r="F22" s="236"/>
      <c r="G22" s="211"/>
      <c r="H22" s="211" t="s">
        <v>435</v>
      </c>
      <c r="I22" s="211"/>
      <c r="J22" s="211"/>
      <c r="K22" s="211"/>
      <c r="L22" s="211"/>
      <c r="M22" s="211"/>
      <c r="N22" s="211"/>
      <c r="O22" s="211"/>
      <c r="P22" s="211"/>
      <c r="Q22" s="206"/>
      <c r="R22" s="237"/>
      <c r="S22" s="211"/>
      <c r="T22" s="211"/>
    </row>
    <row r="23" spans="1:20" x14ac:dyDescent="0.25">
      <c r="A23" s="240">
        <f>0.96*14</f>
        <v>13.44</v>
      </c>
      <c r="B23" s="241" t="s">
        <v>433</v>
      </c>
      <c r="C23" s="242" t="s">
        <v>432</v>
      </c>
      <c r="D23" s="242"/>
      <c r="E23" s="243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06"/>
      <c r="R23" s="237"/>
      <c r="S23" s="211"/>
      <c r="T23" s="211"/>
    </row>
    <row r="24" spans="1:20" s="207" customFormat="1" x14ac:dyDescent="0.25">
      <c r="A24" s="244"/>
      <c r="B24" s="245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06"/>
      <c r="R24" s="237"/>
      <c r="S24" s="236"/>
      <c r="T24" s="236"/>
    </row>
    <row r="25" spans="1:20" s="207" customFormat="1" x14ac:dyDescent="0.25">
      <c r="A25" s="244"/>
      <c r="B25" s="245"/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06"/>
      <c r="R25" s="237"/>
      <c r="S25" s="236"/>
      <c r="T25" s="236"/>
    </row>
  </sheetData>
  <mergeCells count="2">
    <mergeCell ref="A2:P2"/>
    <mergeCell ref="H15:O1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2B16-070D-4EDE-A2DD-0BDE4B550E91}">
  <dimension ref="A1:T43"/>
  <sheetViews>
    <sheetView topLeftCell="A10" workbookViewId="0">
      <selection activeCell="A4" sqref="A4"/>
    </sheetView>
  </sheetViews>
  <sheetFormatPr baseColWidth="10" defaultRowHeight="15.75" x14ac:dyDescent="0.25"/>
  <cols>
    <col min="1" max="1" width="12.5" customWidth="1"/>
    <col min="11" max="11" width="21.5" customWidth="1"/>
    <col min="13" max="13" width="16.625" customWidth="1"/>
    <col min="16" max="16" width="15.875" customWidth="1"/>
  </cols>
  <sheetData>
    <row r="1" spans="1:20" ht="21" x14ac:dyDescent="0.25">
      <c r="A1" s="233" t="s">
        <v>774</v>
      </c>
    </row>
    <row r="2" spans="1:20" ht="12.75" customHeight="1" x14ac:dyDescent="0.25">
      <c r="A2" s="233"/>
    </row>
    <row r="3" spans="1:20" s="115" customFormat="1" ht="30" customHeight="1" x14ac:dyDescent="0.25">
      <c r="A3" s="533" t="s">
        <v>730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211"/>
      <c r="R3" s="211"/>
      <c r="S3" s="211"/>
      <c r="T3" s="211"/>
    </row>
    <row r="4" spans="1:20" ht="21" x14ac:dyDescent="0.25">
      <c r="A4" s="233"/>
      <c r="B4" s="211"/>
      <c r="C4" s="211"/>
      <c r="D4" s="211"/>
      <c r="E4" s="211"/>
      <c r="F4" s="211"/>
      <c r="G4" s="211"/>
      <c r="H4" s="211"/>
      <c r="I4" s="211"/>
      <c r="J4" s="211"/>
    </row>
    <row r="5" spans="1:20" s="479" customFormat="1" ht="31.5" x14ac:dyDescent="0.25">
      <c r="A5" s="478" t="s">
        <v>799</v>
      </c>
      <c r="B5" s="210" t="s">
        <v>800</v>
      </c>
      <c r="C5" s="210"/>
      <c r="D5" s="210"/>
      <c r="E5" s="210"/>
      <c r="F5" s="210"/>
      <c r="G5" s="210"/>
      <c r="H5" s="210"/>
      <c r="I5" s="210"/>
      <c r="J5" s="210"/>
    </row>
    <row r="6" spans="1:20" x14ac:dyDescent="0.25">
      <c r="A6" s="211"/>
      <c r="B6" s="211"/>
      <c r="C6" s="211"/>
      <c r="D6" s="211"/>
      <c r="E6" s="211"/>
      <c r="F6" s="211"/>
      <c r="G6" s="211"/>
      <c r="H6" s="211"/>
      <c r="I6" s="211"/>
      <c r="J6" s="211"/>
    </row>
    <row r="7" spans="1:20" x14ac:dyDescent="0.25">
      <c r="A7" s="238" t="s">
        <v>731</v>
      </c>
      <c r="B7" s="211"/>
      <c r="C7" s="211"/>
      <c r="D7" s="211"/>
      <c r="E7" s="211"/>
      <c r="F7" s="211"/>
      <c r="G7" s="211"/>
      <c r="H7" s="514" t="s">
        <v>771</v>
      </c>
      <c r="I7" s="542"/>
      <c r="J7" s="542"/>
      <c r="K7" s="542"/>
      <c r="L7" s="542"/>
      <c r="M7" s="542"/>
      <c r="N7" s="542"/>
      <c r="O7" s="542"/>
    </row>
    <row r="8" spans="1:20" x14ac:dyDescent="0.25">
      <c r="A8" s="212" t="s">
        <v>732</v>
      </c>
      <c r="B8" s="327">
        <v>0.03</v>
      </c>
      <c r="C8" s="211"/>
      <c r="D8" s="211"/>
      <c r="E8" s="211"/>
      <c r="F8" s="211"/>
      <c r="G8" s="211"/>
      <c r="H8" s="542"/>
      <c r="I8" s="542"/>
      <c r="J8" s="542"/>
      <c r="K8" s="542"/>
      <c r="L8" s="542"/>
      <c r="M8" s="542"/>
      <c r="N8" s="542"/>
      <c r="O8" s="542"/>
    </row>
    <row r="9" spans="1:20" x14ac:dyDescent="0.25">
      <c r="A9" s="212" t="s">
        <v>733</v>
      </c>
      <c r="B9" s="327">
        <v>1.1100000000000001</v>
      </c>
      <c r="C9" s="211"/>
      <c r="D9" s="211"/>
      <c r="E9" s="211"/>
      <c r="F9" s="211"/>
      <c r="G9" s="211"/>
      <c r="H9" s="542"/>
      <c r="I9" s="542"/>
      <c r="J9" s="542"/>
      <c r="K9" s="542"/>
      <c r="L9" s="542"/>
      <c r="M9" s="542"/>
      <c r="N9" s="542"/>
      <c r="O9" s="542"/>
    </row>
    <row r="10" spans="1:20" x14ac:dyDescent="0.25">
      <c r="A10" s="212" t="s">
        <v>734</v>
      </c>
      <c r="B10" s="327">
        <v>0.2</v>
      </c>
      <c r="C10" s="211"/>
      <c r="D10" s="211"/>
      <c r="E10" s="211"/>
      <c r="F10" s="211"/>
      <c r="G10" s="211"/>
      <c r="H10" s="211"/>
      <c r="I10" s="211"/>
      <c r="J10" s="211"/>
    </row>
    <row r="11" spans="1:20" x14ac:dyDescent="0.25">
      <c r="A11" s="212" t="s">
        <v>735</v>
      </c>
      <c r="B11" s="327">
        <v>2.66</v>
      </c>
      <c r="C11" s="211"/>
      <c r="D11" s="211"/>
      <c r="E11" s="211"/>
      <c r="F11" s="211"/>
      <c r="G11" s="211"/>
      <c r="H11" s="211"/>
      <c r="I11" s="211"/>
      <c r="J11" s="211"/>
    </row>
    <row r="12" spans="1:20" x14ac:dyDescent="0.25">
      <c r="A12" s="212" t="s">
        <v>736</v>
      </c>
      <c r="B12" s="327">
        <v>2.09</v>
      </c>
      <c r="C12" s="211"/>
      <c r="D12" s="211"/>
      <c r="E12" s="211"/>
      <c r="F12" s="211"/>
      <c r="G12" s="211"/>
      <c r="H12" s="211"/>
      <c r="I12" s="211"/>
      <c r="J12" s="211"/>
    </row>
    <row r="13" spans="1:20" x14ac:dyDescent="0.25">
      <c r="A13" s="212" t="s">
        <v>737</v>
      </c>
      <c r="B13" s="327">
        <v>2.82</v>
      </c>
      <c r="C13" s="211"/>
      <c r="D13" s="211"/>
      <c r="E13" s="211"/>
      <c r="F13" s="211"/>
      <c r="G13" s="211"/>
      <c r="H13" s="211"/>
      <c r="I13" s="211"/>
      <c r="J13" s="211"/>
    </row>
    <row r="14" spans="1:20" x14ac:dyDescent="0.25">
      <c r="A14" s="212" t="s">
        <v>738</v>
      </c>
      <c r="B14" s="327">
        <v>3.62</v>
      </c>
      <c r="C14" s="211"/>
      <c r="D14" s="211"/>
      <c r="E14" s="211"/>
      <c r="F14" s="211"/>
      <c r="G14" s="211"/>
      <c r="H14" s="211"/>
      <c r="I14" s="211"/>
      <c r="J14" s="211"/>
    </row>
    <row r="15" spans="1:20" x14ac:dyDescent="0.25">
      <c r="A15" s="212" t="s">
        <v>739</v>
      </c>
      <c r="B15" s="327">
        <v>1.1000000000000001</v>
      </c>
      <c r="C15" s="211"/>
      <c r="D15" s="211"/>
      <c r="E15" s="211"/>
      <c r="F15" s="211"/>
      <c r="G15" s="211"/>
      <c r="H15" s="211"/>
      <c r="I15" s="211"/>
      <c r="J15" s="211"/>
    </row>
    <row r="16" spans="1:20" x14ac:dyDescent="0.25">
      <c r="A16" s="212" t="s">
        <v>740</v>
      </c>
      <c r="B16" s="327">
        <v>4.08</v>
      </c>
      <c r="C16" s="211"/>
      <c r="D16" s="211"/>
      <c r="E16" s="211"/>
      <c r="F16" s="211"/>
      <c r="G16" s="211"/>
      <c r="H16" s="211"/>
      <c r="I16" s="211"/>
      <c r="J16" s="211"/>
    </row>
    <row r="17" spans="1:10" x14ac:dyDescent="0.25">
      <c r="A17" s="212" t="s">
        <v>741</v>
      </c>
      <c r="B17" s="327">
        <v>1.75</v>
      </c>
      <c r="C17" s="211"/>
      <c r="D17" s="211"/>
      <c r="E17" s="211"/>
      <c r="F17" s="211"/>
      <c r="G17" s="211"/>
      <c r="H17" s="211"/>
      <c r="I17" s="211"/>
      <c r="J17" s="211"/>
    </row>
    <row r="18" spans="1:10" x14ac:dyDescent="0.25">
      <c r="A18" s="211"/>
      <c r="B18" s="211"/>
      <c r="C18" s="211"/>
      <c r="D18" s="211"/>
      <c r="E18" s="211"/>
      <c r="F18" s="211"/>
      <c r="G18" s="211"/>
      <c r="H18" s="211"/>
      <c r="I18" s="211"/>
      <c r="J18" s="211"/>
    </row>
    <row r="19" spans="1:10" x14ac:dyDescent="0.25">
      <c r="A19" s="328" t="s">
        <v>747</v>
      </c>
      <c r="B19" s="211"/>
      <c r="C19" s="211"/>
      <c r="D19" s="211"/>
      <c r="E19" s="211"/>
      <c r="F19" s="211"/>
      <c r="G19" s="211"/>
      <c r="H19" s="211"/>
      <c r="I19" s="211"/>
      <c r="J19" s="211"/>
    </row>
    <row r="20" spans="1:10" x14ac:dyDescent="0.25">
      <c r="A20" s="327">
        <f>AVERAGE(B12:B17)</f>
        <v>2.5766666666666667</v>
      </c>
      <c r="B20" s="210" t="s">
        <v>743</v>
      </c>
      <c r="C20" s="211"/>
      <c r="D20" s="211"/>
      <c r="E20" s="211"/>
      <c r="F20" s="211"/>
      <c r="G20" s="211"/>
      <c r="H20" s="211"/>
      <c r="I20" s="211"/>
      <c r="J20" s="211"/>
    </row>
    <row r="21" spans="1:10" x14ac:dyDescent="0.25">
      <c r="A21" s="327">
        <f>AVERAGE(B8:B11)</f>
        <v>1</v>
      </c>
      <c r="B21" s="210" t="s">
        <v>742</v>
      </c>
      <c r="C21" s="211"/>
      <c r="D21" s="211"/>
      <c r="E21" s="211"/>
      <c r="F21" s="211"/>
      <c r="G21" s="211"/>
      <c r="H21" s="211"/>
      <c r="I21" s="211"/>
      <c r="J21" s="211"/>
    </row>
    <row r="22" spans="1:10" x14ac:dyDescent="0.25">
      <c r="A22" s="211"/>
      <c r="B22" s="211"/>
      <c r="C22" s="211"/>
      <c r="D22" s="211"/>
      <c r="E22" s="211"/>
      <c r="F22" s="211"/>
      <c r="G22" s="211"/>
      <c r="H22" s="211"/>
      <c r="I22" s="211"/>
      <c r="J22" s="211"/>
    </row>
    <row r="23" spans="1:10" x14ac:dyDescent="0.25">
      <c r="A23" s="328" t="s">
        <v>746</v>
      </c>
      <c r="B23" s="211"/>
      <c r="C23" s="211"/>
      <c r="D23" s="211"/>
      <c r="E23" s="211"/>
      <c r="F23" s="211"/>
      <c r="G23" s="211"/>
      <c r="H23" s="211"/>
      <c r="I23" s="211"/>
      <c r="J23" s="211"/>
    </row>
    <row r="24" spans="1:10" x14ac:dyDescent="0.25">
      <c r="A24" s="327">
        <f>A21*33</f>
        <v>33</v>
      </c>
      <c r="B24" s="211" t="s">
        <v>744</v>
      </c>
      <c r="C24" s="211"/>
      <c r="D24" s="211"/>
      <c r="E24" s="211"/>
      <c r="F24" s="211"/>
      <c r="G24" s="211"/>
      <c r="H24" s="211"/>
      <c r="I24" s="211"/>
      <c r="J24" s="211"/>
    </row>
    <row r="25" spans="1:10" x14ac:dyDescent="0.25">
      <c r="A25" s="327">
        <f>A20*33</f>
        <v>85.03</v>
      </c>
      <c r="B25" s="211" t="s">
        <v>745</v>
      </c>
      <c r="C25" s="211"/>
      <c r="D25" s="211"/>
      <c r="E25" s="211"/>
      <c r="F25" s="211"/>
      <c r="G25" s="211"/>
      <c r="H25" s="211"/>
      <c r="I25" s="211"/>
      <c r="J25" s="211"/>
    </row>
    <row r="26" spans="1:10" x14ac:dyDescent="0.25">
      <c r="A26" s="211"/>
      <c r="B26" s="211"/>
      <c r="C26" s="211"/>
      <c r="D26" s="211"/>
      <c r="E26" s="211"/>
      <c r="F26" s="211"/>
      <c r="G26" s="211"/>
      <c r="H26" s="211"/>
      <c r="I26" s="211"/>
      <c r="J26" s="211"/>
    </row>
    <row r="27" spans="1:10" x14ac:dyDescent="0.25">
      <c r="A27" s="211"/>
      <c r="B27" s="211"/>
      <c r="C27" s="211"/>
      <c r="D27" s="211"/>
      <c r="E27" s="211"/>
      <c r="F27" s="211"/>
      <c r="G27" s="211"/>
      <c r="H27" s="211"/>
      <c r="I27" s="211"/>
      <c r="J27" s="211"/>
    </row>
    <row r="28" spans="1:10" x14ac:dyDescent="0.25">
      <c r="A28" s="238" t="s">
        <v>748</v>
      </c>
      <c r="B28" s="211"/>
      <c r="C28" s="211"/>
      <c r="D28" s="211"/>
      <c r="E28" s="211"/>
      <c r="F28" s="211"/>
      <c r="G28" s="211"/>
      <c r="H28" s="211" t="s">
        <v>772</v>
      </c>
      <c r="I28" s="211"/>
      <c r="J28" s="211"/>
    </row>
    <row r="29" spans="1:10" x14ac:dyDescent="0.25">
      <c r="A29" s="212">
        <v>16</v>
      </c>
      <c r="B29" s="211" t="s">
        <v>749</v>
      </c>
      <c r="C29" s="211"/>
      <c r="D29" s="211"/>
      <c r="E29" s="211"/>
      <c r="F29" s="211"/>
      <c r="G29" s="211"/>
      <c r="H29" s="211"/>
      <c r="I29" s="211"/>
      <c r="J29" s="211"/>
    </row>
    <row r="30" spans="1:10" x14ac:dyDescent="0.25">
      <c r="A30" s="329">
        <f>A29*A24</f>
        <v>528</v>
      </c>
      <c r="B30" s="211" t="s">
        <v>750</v>
      </c>
      <c r="C30" s="211"/>
      <c r="D30" s="211"/>
      <c r="E30" s="211"/>
      <c r="F30" s="211"/>
      <c r="G30" s="211"/>
      <c r="H30" s="211"/>
      <c r="I30" s="211"/>
      <c r="J30" s="211"/>
    </row>
    <row r="31" spans="1:10" x14ac:dyDescent="0.25">
      <c r="A31" s="329">
        <f>A29*A25</f>
        <v>1360.48</v>
      </c>
      <c r="B31" s="211" t="s">
        <v>751</v>
      </c>
      <c r="C31" s="211"/>
      <c r="D31" s="211"/>
      <c r="E31" s="211"/>
      <c r="F31" s="211"/>
      <c r="G31" s="211"/>
      <c r="H31" s="211"/>
      <c r="I31" s="211"/>
      <c r="J31" s="211"/>
    </row>
    <row r="32" spans="1:10" x14ac:dyDescent="0.25">
      <c r="A32" s="211"/>
      <c r="B32" s="211"/>
      <c r="C32" s="211"/>
      <c r="D32" s="211"/>
      <c r="E32" s="211"/>
      <c r="F32" s="211"/>
      <c r="G32" s="211"/>
      <c r="H32" s="211"/>
      <c r="I32" s="211"/>
      <c r="J32" s="211"/>
    </row>
    <row r="33" spans="1:10" x14ac:dyDescent="0.25">
      <c r="A33" s="238" t="s">
        <v>753</v>
      </c>
      <c r="B33" s="211"/>
      <c r="C33" s="211"/>
      <c r="D33" s="211"/>
      <c r="E33" s="211"/>
      <c r="F33" s="211"/>
      <c r="G33" s="211"/>
      <c r="H33" s="211"/>
      <c r="I33" s="211"/>
      <c r="J33" s="211"/>
    </row>
    <row r="34" spans="1:10" x14ac:dyDescent="0.25">
      <c r="A34" s="211" t="s">
        <v>756</v>
      </c>
      <c r="B34" s="211"/>
      <c r="C34" s="211"/>
      <c r="D34" s="211"/>
      <c r="E34" s="211"/>
      <c r="F34" s="211"/>
      <c r="G34" s="211"/>
      <c r="H34" s="211" t="s">
        <v>773</v>
      </c>
      <c r="I34" s="211"/>
      <c r="J34" s="211"/>
    </row>
    <row r="35" spans="1:10" x14ac:dyDescent="0.25">
      <c r="A35" s="211" t="s">
        <v>757</v>
      </c>
      <c r="B35" s="211"/>
      <c r="C35" s="211"/>
      <c r="D35" s="211"/>
      <c r="E35" s="211"/>
      <c r="F35" s="211"/>
      <c r="G35" s="211"/>
      <c r="H35" s="211"/>
      <c r="I35" s="211"/>
      <c r="J35" s="211"/>
    </row>
    <row r="36" spans="1:10" x14ac:dyDescent="0.25">
      <c r="A36" s="211"/>
      <c r="B36" s="211"/>
      <c r="C36" s="211"/>
      <c r="D36" s="211"/>
      <c r="E36" s="211"/>
      <c r="F36" s="211"/>
      <c r="G36" s="211"/>
      <c r="H36" s="211"/>
      <c r="I36" s="211"/>
      <c r="J36" s="211"/>
    </row>
    <row r="37" spans="1:10" x14ac:dyDescent="0.25">
      <c r="A37" s="329">
        <f>A24/15*60*1.2</f>
        <v>158.4</v>
      </c>
      <c r="B37" s="211" t="s">
        <v>758</v>
      </c>
      <c r="C37" s="211"/>
      <c r="D37" s="211"/>
      <c r="E37" s="211"/>
      <c r="F37" s="211"/>
      <c r="G37" s="211"/>
      <c r="H37" s="211"/>
      <c r="I37" s="211"/>
      <c r="J37" s="211"/>
    </row>
    <row r="38" spans="1:10" x14ac:dyDescent="0.25">
      <c r="A38" s="329">
        <f>A25/15*60*1.2</f>
        <v>408.14400000000001</v>
      </c>
      <c r="B38" s="211" t="s">
        <v>759</v>
      </c>
      <c r="C38" s="211"/>
      <c r="D38" s="211"/>
      <c r="E38" s="211"/>
      <c r="F38" s="211"/>
      <c r="G38" s="211"/>
      <c r="H38" s="211"/>
      <c r="I38" s="211"/>
      <c r="J38" s="211"/>
    </row>
    <row r="39" spans="1:10" x14ac:dyDescent="0.25">
      <c r="A39" s="211"/>
      <c r="B39" s="211"/>
      <c r="C39" s="211"/>
      <c r="D39" s="211"/>
      <c r="E39" s="211"/>
      <c r="F39" s="211"/>
      <c r="G39" s="211"/>
      <c r="H39" s="211"/>
      <c r="I39" s="211"/>
      <c r="J39" s="211"/>
    </row>
    <row r="40" spans="1:10" x14ac:dyDescent="0.25">
      <c r="A40" s="211"/>
      <c r="B40" s="211"/>
      <c r="C40" s="211"/>
      <c r="D40" s="211"/>
      <c r="E40" s="211"/>
      <c r="F40" s="211"/>
      <c r="G40" s="211"/>
      <c r="H40" s="211"/>
      <c r="I40" s="211"/>
      <c r="J40" s="211"/>
    </row>
    <row r="41" spans="1:10" x14ac:dyDescent="0.25">
      <c r="A41" s="211"/>
      <c r="B41" s="211"/>
      <c r="C41" s="211"/>
      <c r="D41" s="211"/>
      <c r="E41" s="211"/>
      <c r="F41" s="211"/>
      <c r="G41" s="211"/>
      <c r="H41" s="211"/>
      <c r="I41" s="211"/>
      <c r="J41" s="211"/>
    </row>
    <row r="42" spans="1:10" x14ac:dyDescent="0.25">
      <c r="A42" s="211"/>
      <c r="B42" s="211"/>
      <c r="C42" s="211"/>
      <c r="D42" s="211"/>
      <c r="E42" s="211"/>
      <c r="F42" s="211"/>
      <c r="G42" s="211"/>
      <c r="H42" s="211"/>
      <c r="I42" s="211"/>
      <c r="J42" s="211"/>
    </row>
    <row r="43" spans="1:10" x14ac:dyDescent="0.25">
      <c r="A43" s="211"/>
      <c r="B43" s="211"/>
      <c r="C43" s="211"/>
      <c r="D43" s="211"/>
      <c r="E43" s="211"/>
      <c r="F43" s="211"/>
      <c r="G43" s="211"/>
      <c r="H43" s="211"/>
      <c r="I43" s="211"/>
      <c r="J43" s="211"/>
    </row>
  </sheetData>
  <mergeCells count="2">
    <mergeCell ref="A3:P3"/>
    <mergeCell ref="H7:O9"/>
  </mergeCells>
  <phoneticPr fontId="52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90"/>
  <sheetViews>
    <sheetView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AF21" sqref="AF2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9</v>
      </c>
      <c r="B1" s="14" t="s">
        <v>21</v>
      </c>
      <c r="C1" s="14" t="s">
        <v>22</v>
      </c>
      <c r="D1" s="14" t="s">
        <v>23</v>
      </c>
      <c r="E1" s="14" t="s">
        <v>24</v>
      </c>
      <c r="F1" s="14" t="s">
        <v>25</v>
      </c>
      <c r="G1" s="14" t="s">
        <v>26</v>
      </c>
      <c r="H1" s="14" t="s">
        <v>27</v>
      </c>
      <c r="I1" s="14" t="s">
        <v>28</v>
      </c>
      <c r="J1" s="14" t="s">
        <v>29</v>
      </c>
      <c r="K1" s="14" t="s">
        <v>30</v>
      </c>
      <c r="L1" s="14" t="s">
        <v>32</v>
      </c>
      <c r="M1" s="14" t="s">
        <v>31</v>
      </c>
      <c r="N1" s="14" t="s">
        <v>33</v>
      </c>
      <c r="O1" s="14" t="s">
        <v>34</v>
      </c>
      <c r="P1" s="14" t="s">
        <v>35</v>
      </c>
      <c r="Q1" s="14" t="s">
        <v>36</v>
      </c>
      <c r="R1" s="14" t="s">
        <v>37</v>
      </c>
      <c r="S1" s="14" t="s">
        <v>38</v>
      </c>
      <c r="T1" s="14" t="s">
        <v>39</v>
      </c>
      <c r="U1" s="14" t="s">
        <v>40</v>
      </c>
      <c r="V1" s="14" t="s">
        <v>41</v>
      </c>
      <c r="W1" s="14" t="s">
        <v>42</v>
      </c>
      <c r="X1" s="14" t="s">
        <v>43</v>
      </c>
      <c r="Y1" s="14" t="s">
        <v>44</v>
      </c>
      <c r="Z1" s="14" t="s">
        <v>45</v>
      </c>
      <c r="AA1" s="14" t="s">
        <v>46</v>
      </c>
      <c r="AB1" s="14" t="s">
        <v>47</v>
      </c>
      <c r="AC1" s="14" t="s">
        <v>48</v>
      </c>
      <c r="AD1" s="14" t="s">
        <v>49</v>
      </c>
      <c r="AE1" s="14" t="s">
        <v>50</v>
      </c>
      <c r="AF1" s="14" t="s">
        <v>51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>
        <v>8</v>
      </c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8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>
        <v>10</v>
      </c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10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>
        <v>12</v>
      </c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12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20</v>
      </c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20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50</v>
      </c>
      <c r="AG45" s="27">
        <f>SUM(B45:AF45)</f>
        <v>50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E0A3-83FA-4880-94A9-572E2BFFC428}">
  <dimension ref="A1:AG1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D41" sqref="AD41"/>
    </sheetView>
  </sheetViews>
  <sheetFormatPr baseColWidth="10" defaultColWidth="10.75" defaultRowHeight="15" x14ac:dyDescent="0.2"/>
  <cols>
    <col min="1" max="1" width="18.625" style="2" bestFit="1" customWidth="1"/>
    <col min="2" max="2" width="9" style="6" customWidth="1"/>
    <col min="3" max="10" width="7.75" style="2" customWidth="1"/>
    <col min="11" max="11" width="7.625" style="2" customWidth="1"/>
    <col min="12" max="12" width="7.75" style="2" bestFit="1" customWidth="1"/>
    <col min="13" max="14" width="7.75" style="2" customWidth="1"/>
    <col min="15" max="15" width="8.75" style="2" bestFit="1" customWidth="1"/>
    <col min="16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29" width="7.75" style="2" customWidth="1"/>
    <col min="30" max="30" width="18.625" style="15" bestFit="1" customWidth="1"/>
    <col min="31" max="16384" width="10.75" style="2"/>
  </cols>
  <sheetData>
    <row r="1" spans="1:33" s="15" customFormat="1" ht="15.75" x14ac:dyDescent="0.25">
      <c r="A1" s="28" t="s">
        <v>18</v>
      </c>
      <c r="B1" s="14" t="s">
        <v>57</v>
      </c>
      <c r="C1" s="14" t="s">
        <v>58</v>
      </c>
      <c r="D1" s="14" t="s">
        <v>59</v>
      </c>
      <c r="E1" s="14" t="s">
        <v>60</v>
      </c>
      <c r="F1" s="14" t="s">
        <v>61</v>
      </c>
      <c r="G1" s="14" t="s">
        <v>62</v>
      </c>
      <c r="H1" s="14" t="s">
        <v>63</v>
      </c>
      <c r="I1" s="14" t="s">
        <v>64</v>
      </c>
      <c r="J1" s="14" t="s">
        <v>65</v>
      </c>
      <c r="K1" s="14" t="s">
        <v>66</v>
      </c>
      <c r="L1" s="14" t="s">
        <v>67</v>
      </c>
      <c r="M1" s="14" t="s">
        <v>68</v>
      </c>
      <c r="N1" s="14" t="s">
        <v>69</v>
      </c>
      <c r="O1" s="14" t="s">
        <v>70</v>
      </c>
      <c r="P1" s="14" t="s">
        <v>71</v>
      </c>
      <c r="Q1" s="14" t="s">
        <v>72</v>
      </c>
      <c r="R1" s="14" t="s">
        <v>73</v>
      </c>
      <c r="S1" s="14" t="s">
        <v>74</v>
      </c>
      <c r="T1" s="14" t="s">
        <v>75</v>
      </c>
      <c r="U1" s="14" t="s">
        <v>76</v>
      </c>
      <c r="V1" s="14" t="s">
        <v>77</v>
      </c>
      <c r="W1" s="14" t="s">
        <v>78</v>
      </c>
      <c r="X1" s="14" t="s">
        <v>79</v>
      </c>
      <c r="Y1" s="14" t="s">
        <v>80</v>
      </c>
      <c r="Z1" s="14" t="s">
        <v>81</v>
      </c>
      <c r="AA1" s="14" t="s">
        <v>82</v>
      </c>
      <c r="AB1" s="14" t="s">
        <v>56</v>
      </c>
      <c r="AC1" s="14" t="s">
        <v>55</v>
      </c>
      <c r="AD1" s="13" t="s">
        <v>52</v>
      </c>
      <c r="AE1" s="14"/>
      <c r="AF1" s="14"/>
      <c r="AG1" s="14"/>
    </row>
    <row r="2" spans="1:33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24" t="s">
        <v>0</v>
      </c>
    </row>
    <row r="3" spans="1:33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5"/>
    </row>
    <row r="4" spans="1:33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5"/>
    </row>
    <row r="5" spans="1:33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5"/>
    </row>
    <row r="6" spans="1:33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9">
        <f>SUM(B2:AC6)</f>
        <v>0</v>
      </c>
    </row>
    <row r="7" spans="1:33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24" t="s">
        <v>1</v>
      </c>
    </row>
    <row r="8" spans="1:33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5"/>
    </row>
    <row r="9" spans="1:33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5"/>
    </row>
    <row r="10" spans="1:33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9">
        <f>SUM(B7:AC10)</f>
        <v>0</v>
      </c>
    </row>
    <row r="11" spans="1:33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24" t="s">
        <v>3</v>
      </c>
    </row>
    <row r="12" spans="1:33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33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33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9">
        <f>SUM(B11:AC14)</f>
        <v>0</v>
      </c>
    </row>
    <row r="15" spans="1:33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24" t="s">
        <v>2</v>
      </c>
    </row>
    <row r="16" spans="1:33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 spans="1:30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30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1:30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9">
        <f>SUM(B15:AC19)</f>
        <v>0</v>
      </c>
    </row>
    <row r="20" spans="1:30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24" t="s">
        <v>4</v>
      </c>
    </row>
    <row r="21" spans="1:30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1:30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</row>
    <row r="23" spans="1:30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 spans="1:30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9">
        <f>SUM(B20:AC24)</f>
        <v>0</v>
      </c>
    </row>
    <row r="25" spans="1:30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24" t="s">
        <v>20</v>
      </c>
    </row>
    <row r="26" spans="1:30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  <row r="27" spans="1:30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</row>
    <row r="28" spans="1:30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</row>
    <row r="29" spans="1:30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9">
        <f>SUM(B25:AC29)</f>
        <v>0</v>
      </c>
    </row>
    <row r="30" spans="1:30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24" t="s">
        <v>5</v>
      </c>
    </row>
    <row r="31" spans="1:30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30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1:30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30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9">
        <f>SUM(B30:AC34)</f>
        <v>0</v>
      </c>
    </row>
    <row r="35" spans="1:30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26" t="s">
        <v>12</v>
      </c>
    </row>
    <row r="36" spans="1:30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20"/>
    </row>
    <row r="37" spans="1:30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9">
        <f>SUM(B35:AC37)</f>
        <v>0</v>
      </c>
    </row>
    <row r="38" spans="1:30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26" t="s">
        <v>12</v>
      </c>
    </row>
    <row r="39" spans="1:30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 spans="1:30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9">
        <f>SUM(B38:AC40)</f>
        <v>0</v>
      </c>
    </row>
    <row r="41" spans="1:30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24" t="s">
        <v>388</v>
      </c>
    </row>
    <row r="42" spans="1:30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  <row r="43" spans="1:30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</row>
    <row r="44" spans="1:30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9">
        <f>SUM(B41:AC44)</f>
        <v>0</v>
      </c>
    </row>
    <row r="45" spans="1:30" s="15" customFormat="1" ht="15.75" x14ac:dyDescent="0.25">
      <c r="A45" s="24" t="s">
        <v>19</v>
      </c>
      <c r="B45" s="25">
        <f>SUM(B2:B44)</f>
        <v>0</v>
      </c>
      <c r="C45" s="25">
        <f t="shared" ref="C45:AC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7">
        <f>SUM(B45:AC45)</f>
        <v>0</v>
      </c>
    </row>
    <row r="46" spans="1:30" x14ac:dyDescent="0.2">
      <c r="B46" s="5"/>
    </row>
    <row r="47" spans="1:30" s="4" customFormat="1" ht="15.75" x14ac:dyDescent="0.25">
      <c r="B47" s="9"/>
      <c r="AD47" s="16"/>
    </row>
    <row r="48" spans="1:30" s="4" customFormat="1" x14ac:dyDescent="0.2">
      <c r="B48" s="7"/>
      <c r="AD48" s="16"/>
    </row>
    <row r="49" spans="2:30" s="4" customFormat="1" x14ac:dyDescent="0.2">
      <c r="B49" s="7"/>
      <c r="AD49" s="16"/>
    </row>
    <row r="50" spans="2:30" s="4" customFormat="1" x14ac:dyDescent="0.2">
      <c r="B50" s="7"/>
      <c r="C50" s="10"/>
      <c r="AD50" s="16"/>
    </row>
    <row r="51" spans="2:30" s="4" customFormat="1" x14ac:dyDescent="0.2">
      <c r="B51" s="7"/>
      <c r="AD51" s="16"/>
    </row>
    <row r="52" spans="2:30" s="4" customFormat="1" x14ac:dyDescent="0.2">
      <c r="B52" s="7"/>
      <c r="L52" s="10"/>
      <c r="AD52" s="16"/>
    </row>
    <row r="53" spans="2:30" s="4" customFormat="1" x14ac:dyDescent="0.2">
      <c r="B53" s="7"/>
      <c r="AD53" s="16"/>
    </row>
    <row r="54" spans="2:30" s="4" customFormat="1" x14ac:dyDescent="0.2">
      <c r="B54" s="7"/>
      <c r="AD54" s="16"/>
    </row>
    <row r="55" spans="2:30" s="4" customFormat="1" x14ac:dyDescent="0.2">
      <c r="B55" s="7"/>
      <c r="AD55" s="16"/>
    </row>
    <row r="56" spans="2:30" s="4" customFormat="1" x14ac:dyDescent="0.2">
      <c r="B56" s="7"/>
      <c r="C56" s="10"/>
      <c r="AD56" s="16"/>
    </row>
    <row r="57" spans="2:30" s="4" customFormat="1" ht="15.75" x14ac:dyDescent="0.25">
      <c r="B57" s="7"/>
      <c r="C57" s="10"/>
      <c r="P57" s="3"/>
      <c r="AD57" s="16"/>
    </row>
    <row r="58" spans="2:30" s="4" customFormat="1" ht="15.75" x14ac:dyDescent="0.25">
      <c r="B58" s="7"/>
      <c r="H58" s="10"/>
      <c r="P58" s="3"/>
      <c r="AD58" s="16"/>
    </row>
    <row r="59" spans="2:30" s="4" customFormat="1" ht="15.75" x14ac:dyDescent="0.25">
      <c r="B59" s="7"/>
      <c r="P59" s="3"/>
      <c r="AD59" s="16"/>
    </row>
    <row r="60" spans="2:30" s="4" customFormat="1" ht="15.75" x14ac:dyDescent="0.25">
      <c r="B60" s="7"/>
      <c r="P60" s="3"/>
      <c r="AD60" s="16"/>
    </row>
    <row r="61" spans="2:30" s="4" customFormat="1" ht="15.75" x14ac:dyDescent="0.25">
      <c r="B61" s="7"/>
      <c r="P61" s="3"/>
      <c r="AD61" s="16"/>
    </row>
    <row r="62" spans="2:30" s="4" customFormat="1" ht="15.75" x14ac:dyDescent="0.25">
      <c r="B62" s="7"/>
      <c r="P62" s="3"/>
      <c r="AD62" s="16"/>
    </row>
    <row r="63" spans="2:30" s="4" customFormat="1" ht="15.75" x14ac:dyDescent="0.25">
      <c r="B63" s="7"/>
      <c r="C63" s="10"/>
      <c r="L63" s="10"/>
      <c r="P63" s="3"/>
      <c r="AD63" s="16"/>
    </row>
    <row r="64" spans="2:30" s="4" customFormat="1" ht="15.75" x14ac:dyDescent="0.25">
      <c r="B64" s="7"/>
      <c r="P64" s="3"/>
      <c r="AD64" s="16"/>
    </row>
    <row r="65" spans="2:30" s="4" customFormat="1" ht="15.75" x14ac:dyDescent="0.25">
      <c r="B65" s="7"/>
      <c r="P65" s="3"/>
      <c r="AD65" s="16"/>
    </row>
    <row r="66" spans="2:30" s="4" customFormat="1" ht="15.75" x14ac:dyDescent="0.25">
      <c r="B66" s="7"/>
      <c r="P66" s="3"/>
      <c r="AD66" s="16"/>
    </row>
    <row r="67" spans="2:30" s="4" customFormat="1" ht="15.75" x14ac:dyDescent="0.25">
      <c r="B67" s="7"/>
      <c r="P67" s="3"/>
      <c r="AD67" s="16"/>
    </row>
    <row r="68" spans="2:30" s="4" customFormat="1" x14ac:dyDescent="0.2">
      <c r="B68" s="7"/>
      <c r="AD68" s="16"/>
    </row>
    <row r="69" spans="2:30" s="4" customFormat="1" x14ac:dyDescent="0.2">
      <c r="B69" s="7"/>
      <c r="AD69" s="16"/>
    </row>
    <row r="70" spans="2:30" s="4" customFormat="1" x14ac:dyDescent="0.2">
      <c r="B70" s="7"/>
      <c r="AD70" s="16"/>
    </row>
    <row r="71" spans="2:30" s="4" customFormat="1" x14ac:dyDescent="0.2">
      <c r="B71" s="7"/>
      <c r="AD71" s="16"/>
    </row>
    <row r="72" spans="2:30" s="4" customFormat="1" x14ac:dyDescent="0.2">
      <c r="B72" s="7"/>
      <c r="AD72" s="16"/>
    </row>
    <row r="73" spans="2:30" s="4" customFormat="1" x14ac:dyDescent="0.2">
      <c r="B73" s="7"/>
      <c r="AD73" s="16"/>
    </row>
    <row r="74" spans="2:30" s="4" customFormat="1" x14ac:dyDescent="0.2">
      <c r="B74" s="7"/>
      <c r="AD74" s="16"/>
    </row>
    <row r="75" spans="2:30" s="4" customFormat="1" x14ac:dyDescent="0.2">
      <c r="B75" s="7"/>
      <c r="AD75" s="16"/>
    </row>
    <row r="76" spans="2:30" s="4" customFormat="1" x14ac:dyDescent="0.2">
      <c r="B76" s="7"/>
      <c r="AD76" s="16"/>
    </row>
    <row r="77" spans="2:30" s="4" customFormat="1" x14ac:dyDescent="0.2">
      <c r="B77" s="11"/>
      <c r="AD77" s="16"/>
    </row>
    <row r="78" spans="2:30" s="4" customFormat="1" x14ac:dyDescent="0.2">
      <c r="B78" s="11"/>
      <c r="AD78" s="16"/>
    </row>
    <row r="79" spans="2:30" s="3" customFormat="1" ht="15.75" x14ac:dyDescent="0.25">
      <c r="B79" s="12"/>
      <c r="AD79" s="16"/>
    </row>
    <row r="80" spans="2:30" s="4" customFormat="1" x14ac:dyDescent="0.2">
      <c r="B80" s="7"/>
      <c r="AD80" s="16"/>
    </row>
    <row r="81" spans="2:30" s="4" customFormat="1" ht="15.75" x14ac:dyDescent="0.25">
      <c r="B81" s="9"/>
      <c r="AD81" s="16"/>
    </row>
    <row r="82" spans="2:30" s="4" customFormat="1" x14ac:dyDescent="0.2">
      <c r="B82" s="7"/>
      <c r="AD82" s="16"/>
    </row>
    <row r="83" spans="2:30" s="4" customFormat="1" x14ac:dyDescent="0.2">
      <c r="B83" s="7"/>
      <c r="AD83" s="16"/>
    </row>
    <row r="84" spans="2:30" s="4" customFormat="1" x14ac:dyDescent="0.2">
      <c r="B84" s="7"/>
      <c r="AD84" s="16"/>
    </row>
    <row r="85" spans="2:30" s="4" customFormat="1" x14ac:dyDescent="0.2">
      <c r="B85" s="7"/>
      <c r="AD85" s="16"/>
    </row>
    <row r="86" spans="2:30" s="4" customFormat="1" x14ac:dyDescent="0.2">
      <c r="B86" s="7"/>
      <c r="AD86" s="16"/>
    </row>
    <row r="87" spans="2:30" s="4" customFormat="1" x14ac:dyDescent="0.2">
      <c r="B87" s="7"/>
      <c r="AD87" s="16"/>
    </row>
    <row r="88" spans="2:30" s="4" customFormat="1" x14ac:dyDescent="0.2">
      <c r="B88" s="7"/>
      <c r="AD88" s="16"/>
    </row>
    <row r="89" spans="2:30" s="4" customFormat="1" x14ac:dyDescent="0.2">
      <c r="B89" s="7"/>
      <c r="AD89" s="16"/>
    </row>
    <row r="90" spans="2:30" s="4" customFormat="1" x14ac:dyDescent="0.2">
      <c r="B90" s="7"/>
      <c r="AD90" s="16"/>
    </row>
    <row r="91" spans="2:30" s="4" customFormat="1" x14ac:dyDescent="0.2">
      <c r="B91" s="7"/>
      <c r="AD91" s="16"/>
    </row>
    <row r="92" spans="2:30" s="4" customFormat="1" x14ac:dyDescent="0.2">
      <c r="B92" s="7"/>
      <c r="AD92" s="16"/>
    </row>
    <row r="93" spans="2:30" s="4" customFormat="1" x14ac:dyDescent="0.2">
      <c r="B93" s="7"/>
      <c r="AD93" s="16"/>
    </row>
    <row r="94" spans="2:30" s="4" customFormat="1" x14ac:dyDescent="0.2">
      <c r="B94" s="7"/>
      <c r="AD94" s="16"/>
    </row>
    <row r="95" spans="2:30" s="4" customFormat="1" x14ac:dyDescent="0.2">
      <c r="B95" s="7"/>
      <c r="AD95" s="16"/>
    </row>
    <row r="96" spans="2:30" s="4" customFormat="1" x14ac:dyDescent="0.2">
      <c r="B96" s="7"/>
      <c r="AD96" s="16"/>
    </row>
    <row r="97" spans="2:30" s="4" customFormat="1" x14ac:dyDescent="0.2">
      <c r="B97" s="7"/>
      <c r="AD97" s="16"/>
    </row>
    <row r="98" spans="2:30" s="4" customFormat="1" x14ac:dyDescent="0.2">
      <c r="B98" s="7"/>
      <c r="AD98" s="16"/>
    </row>
    <row r="99" spans="2:30" s="4" customFormat="1" x14ac:dyDescent="0.2">
      <c r="B99" s="7"/>
      <c r="AD99" s="16"/>
    </row>
    <row r="100" spans="2:30" s="4" customFormat="1" x14ac:dyDescent="0.2">
      <c r="B100" s="7"/>
      <c r="AD100" s="16"/>
    </row>
    <row r="101" spans="2:30" s="4" customFormat="1" x14ac:dyDescent="0.2">
      <c r="B101" s="7"/>
      <c r="AD101" s="16"/>
    </row>
    <row r="102" spans="2:30" s="4" customFormat="1" x14ac:dyDescent="0.2">
      <c r="B102" s="7"/>
      <c r="AD102" s="16"/>
    </row>
    <row r="103" spans="2:30" s="4" customFormat="1" x14ac:dyDescent="0.2">
      <c r="B103" s="7"/>
      <c r="AD103" s="16"/>
    </row>
    <row r="104" spans="2:30" s="4" customFormat="1" x14ac:dyDescent="0.2">
      <c r="B104" s="7"/>
      <c r="AD104" s="16"/>
    </row>
    <row r="105" spans="2:30" s="4" customFormat="1" x14ac:dyDescent="0.2">
      <c r="B105" s="7"/>
      <c r="AD105" s="16"/>
    </row>
    <row r="106" spans="2:30" s="4" customFormat="1" x14ac:dyDescent="0.2">
      <c r="B106" s="7"/>
      <c r="AD106" s="16"/>
    </row>
    <row r="107" spans="2:30" s="4" customFormat="1" x14ac:dyDescent="0.2">
      <c r="B107" s="7"/>
      <c r="AD107" s="16"/>
    </row>
    <row r="108" spans="2:30" s="4" customFormat="1" x14ac:dyDescent="0.2">
      <c r="B108" s="7"/>
      <c r="AD108" s="16"/>
    </row>
    <row r="109" spans="2:30" s="4" customFormat="1" x14ac:dyDescent="0.2">
      <c r="B109" s="7"/>
      <c r="AD109" s="16"/>
    </row>
    <row r="110" spans="2:30" s="4" customFormat="1" x14ac:dyDescent="0.2">
      <c r="B110" s="7"/>
      <c r="AD110" s="16"/>
    </row>
    <row r="111" spans="2:30" s="4" customFormat="1" x14ac:dyDescent="0.2">
      <c r="B111" s="7"/>
      <c r="AD111" s="16"/>
    </row>
    <row r="112" spans="2:30" s="4" customFormat="1" x14ac:dyDescent="0.2">
      <c r="B112" s="7"/>
      <c r="AD112" s="16"/>
    </row>
    <row r="113" spans="2:30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D113" s="16"/>
    </row>
    <row r="114" spans="2:30" x14ac:dyDescent="0.2">
      <c r="B114" s="5"/>
    </row>
    <row r="115" spans="2:30" x14ac:dyDescent="0.2">
      <c r="B115" s="5"/>
    </row>
    <row r="116" spans="2:30" x14ac:dyDescent="0.2">
      <c r="B116" s="5"/>
    </row>
    <row r="117" spans="2:30" x14ac:dyDescent="0.2">
      <c r="B117" s="5"/>
    </row>
    <row r="118" spans="2:30" x14ac:dyDescent="0.2">
      <c r="B118" s="5"/>
    </row>
    <row r="119" spans="2:30" x14ac:dyDescent="0.2">
      <c r="B119" s="5"/>
    </row>
    <row r="120" spans="2:30" x14ac:dyDescent="0.2">
      <c r="B120" s="5"/>
    </row>
    <row r="121" spans="2:30" x14ac:dyDescent="0.2">
      <c r="B121" s="5"/>
    </row>
    <row r="122" spans="2:30" x14ac:dyDescent="0.2">
      <c r="B122" s="5"/>
    </row>
    <row r="123" spans="2:30" x14ac:dyDescent="0.2">
      <c r="B123" s="5"/>
    </row>
    <row r="124" spans="2:30" x14ac:dyDescent="0.2">
      <c r="B124" s="5"/>
    </row>
    <row r="125" spans="2:30" x14ac:dyDescent="0.2">
      <c r="B125" s="5"/>
    </row>
    <row r="126" spans="2:30" x14ac:dyDescent="0.2">
      <c r="B126" s="5"/>
    </row>
    <row r="127" spans="2:30" x14ac:dyDescent="0.2">
      <c r="B127" s="5"/>
    </row>
    <row r="128" spans="2:30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08325-EA67-4684-AB87-FDB15584BA11}">
  <dimension ref="A1:AJ1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G41" sqref="AG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10</v>
      </c>
      <c r="B1" s="14" t="s">
        <v>83</v>
      </c>
      <c r="C1" s="14" t="s">
        <v>84</v>
      </c>
      <c r="D1" s="14" t="s">
        <v>85</v>
      </c>
      <c r="E1" s="14" t="s">
        <v>86</v>
      </c>
      <c r="F1" s="14" t="s">
        <v>87</v>
      </c>
      <c r="G1" s="14" t="s">
        <v>88</v>
      </c>
      <c r="H1" s="14" t="s">
        <v>89</v>
      </c>
      <c r="I1" s="14" t="s">
        <v>90</v>
      </c>
      <c r="J1" s="14" t="s">
        <v>91</v>
      </c>
      <c r="K1" s="14" t="s">
        <v>92</v>
      </c>
      <c r="L1" s="14" t="s">
        <v>93</v>
      </c>
      <c r="M1" s="14" t="s">
        <v>94</v>
      </c>
      <c r="N1" s="14" t="s">
        <v>95</v>
      </c>
      <c r="O1" s="14" t="s">
        <v>96</v>
      </c>
      <c r="P1" s="14" t="s">
        <v>97</v>
      </c>
      <c r="Q1" s="14" t="s">
        <v>98</v>
      </c>
      <c r="R1" s="14" t="s">
        <v>99</v>
      </c>
      <c r="S1" s="14" t="s">
        <v>100</v>
      </c>
      <c r="T1" s="14" t="s">
        <v>101</v>
      </c>
      <c r="U1" s="14" t="s">
        <v>102</v>
      </c>
      <c r="V1" s="14" t="s">
        <v>103</v>
      </c>
      <c r="W1" s="14" t="s">
        <v>104</v>
      </c>
      <c r="X1" s="14" t="s">
        <v>105</v>
      </c>
      <c r="Y1" s="14" t="s">
        <v>106</v>
      </c>
      <c r="Z1" s="14" t="s">
        <v>107</v>
      </c>
      <c r="AA1" s="14" t="s">
        <v>108</v>
      </c>
      <c r="AB1" s="14" t="s">
        <v>109</v>
      </c>
      <c r="AC1" s="14" t="s">
        <v>110</v>
      </c>
      <c r="AD1" s="14" t="s">
        <v>111</v>
      </c>
      <c r="AE1" s="14" t="s">
        <v>112</v>
      </c>
      <c r="AF1" s="15" t="s">
        <v>113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851B-0F47-4EE3-A117-657BE1034BCC}">
  <dimension ref="A1:AI190"/>
  <sheetViews>
    <sheetView workbookViewId="0">
      <pane xSplit="1" ySplit="1" topLeftCell="T26" activePane="bottomRight" state="frozen"/>
      <selection pane="topRight" activeCell="B1" sqref="B1"/>
      <selection pane="bottomLeft" activeCell="A2" sqref="A2"/>
      <selection pane="bottomRight" activeCell="AF41" sqref="AF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1" width="7.75" style="2" customWidth="1"/>
    <col min="32" max="32" width="18.625" style="15" bestFit="1" customWidth="1"/>
    <col min="33" max="16384" width="10.75" style="2"/>
  </cols>
  <sheetData>
    <row r="1" spans="1:35" s="15" customFormat="1" ht="15.75" x14ac:dyDescent="0.25">
      <c r="A1" s="28" t="s">
        <v>11</v>
      </c>
      <c r="B1" s="14" t="s">
        <v>114</v>
      </c>
      <c r="C1" s="14" t="s">
        <v>115</v>
      </c>
      <c r="D1" s="14" t="s">
        <v>116</v>
      </c>
      <c r="E1" s="14" t="s">
        <v>117</v>
      </c>
      <c r="F1" s="14" t="s">
        <v>118</v>
      </c>
      <c r="G1" s="14" t="s">
        <v>119</v>
      </c>
      <c r="H1" s="14" t="s">
        <v>120</v>
      </c>
      <c r="I1" s="14" t="s">
        <v>121</v>
      </c>
      <c r="J1" s="14" t="s">
        <v>122</v>
      </c>
      <c r="K1" s="14" t="s">
        <v>123</v>
      </c>
      <c r="L1" s="14" t="s">
        <v>124</v>
      </c>
      <c r="M1" s="14" t="s">
        <v>125</v>
      </c>
      <c r="N1" s="14" t="s">
        <v>126</v>
      </c>
      <c r="O1" s="14" t="s">
        <v>127</v>
      </c>
      <c r="P1" s="14" t="s">
        <v>128</v>
      </c>
      <c r="Q1" s="14" t="s">
        <v>129</v>
      </c>
      <c r="R1" s="14" t="s">
        <v>130</v>
      </c>
      <c r="S1" s="14" t="s">
        <v>131</v>
      </c>
      <c r="T1" s="14" t="s">
        <v>132</v>
      </c>
      <c r="U1" s="14" t="s">
        <v>133</v>
      </c>
      <c r="V1" s="14" t="s">
        <v>134</v>
      </c>
      <c r="W1" s="14" t="s">
        <v>135</v>
      </c>
      <c r="X1" s="14" t="s">
        <v>136</v>
      </c>
      <c r="Y1" s="14" t="s">
        <v>137</v>
      </c>
      <c r="Z1" s="14" t="s">
        <v>138</v>
      </c>
      <c r="AA1" s="14" t="s">
        <v>139</v>
      </c>
      <c r="AB1" s="14" t="s">
        <v>140</v>
      </c>
      <c r="AC1" s="14" t="s">
        <v>141</v>
      </c>
      <c r="AD1" s="14" t="s">
        <v>142</v>
      </c>
      <c r="AE1" s="15" t="s">
        <v>54</v>
      </c>
      <c r="AF1" s="13" t="s">
        <v>52</v>
      </c>
      <c r="AG1" s="14"/>
      <c r="AH1" s="14"/>
      <c r="AI1" s="14"/>
    </row>
    <row r="2" spans="1:35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4" t="s">
        <v>0</v>
      </c>
    </row>
    <row r="3" spans="1:35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5"/>
    </row>
    <row r="4" spans="1:35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5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5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9">
        <f>SUM(B2:AE6)</f>
        <v>0</v>
      </c>
    </row>
    <row r="7" spans="1:35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4" t="s">
        <v>1</v>
      </c>
    </row>
    <row r="8" spans="1:35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5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5"/>
    </row>
    <row r="10" spans="1:35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>
        <f>SUM(B7:AE10)</f>
        <v>0</v>
      </c>
    </row>
    <row r="11" spans="1:35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4" t="s">
        <v>3</v>
      </c>
    </row>
    <row r="12" spans="1:35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5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5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>
        <f>SUM(B11:AE14)</f>
        <v>0</v>
      </c>
    </row>
    <row r="15" spans="1:35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4" t="s">
        <v>2</v>
      </c>
    </row>
    <row r="16" spans="1:35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2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2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2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>
        <f>SUM(B15:AE19)</f>
        <v>0</v>
      </c>
    </row>
    <row r="20" spans="1:32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24" t="s">
        <v>4</v>
      </c>
    </row>
    <row r="21" spans="1:32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2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>
        <f>SUM(B20:AE24)</f>
        <v>0</v>
      </c>
    </row>
    <row r="25" spans="1:32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4" t="s">
        <v>20</v>
      </c>
    </row>
    <row r="26" spans="1:32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2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>
        <f>SUM(B25:AE29)</f>
        <v>0</v>
      </c>
    </row>
    <row r="30" spans="1:32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4" t="s">
        <v>5</v>
      </c>
    </row>
    <row r="31" spans="1:32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2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2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>
        <f>SUM(B30:AE34)</f>
        <v>0</v>
      </c>
    </row>
    <row r="35" spans="1:32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6" t="s">
        <v>12</v>
      </c>
    </row>
    <row r="36" spans="1:32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0"/>
    </row>
    <row r="37" spans="1:32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>
        <f>SUM(B35:AE37)</f>
        <v>0</v>
      </c>
    </row>
    <row r="38" spans="1:32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6" t="s">
        <v>12</v>
      </c>
    </row>
    <row r="39" spans="1:32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2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>
        <f>SUM(B38:AE40)</f>
        <v>0</v>
      </c>
    </row>
    <row r="41" spans="1:32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4" t="s">
        <v>388</v>
      </c>
    </row>
    <row r="42" spans="1:32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2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2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>
        <f>SUM(B41:AE44)</f>
        <v>0</v>
      </c>
    </row>
    <row r="45" spans="1:32" s="15" customFormat="1" ht="15.75" x14ac:dyDescent="0.25">
      <c r="A45" s="24" t="s">
        <v>19</v>
      </c>
      <c r="B45" s="25">
        <f>SUM(B2:B44)</f>
        <v>0</v>
      </c>
      <c r="C45" s="25">
        <f t="shared" ref="C45:AE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7">
        <f>SUM(B45:AE45)</f>
        <v>0</v>
      </c>
    </row>
    <row r="46" spans="1:32" x14ac:dyDescent="0.2">
      <c r="B46" s="5"/>
    </row>
    <row r="47" spans="1:32" s="4" customFormat="1" ht="15.75" x14ac:dyDescent="0.25">
      <c r="B47" s="9"/>
      <c r="AF47" s="16"/>
    </row>
    <row r="48" spans="1:32" s="4" customFormat="1" x14ac:dyDescent="0.2">
      <c r="B48" s="7"/>
      <c r="AF48" s="16"/>
    </row>
    <row r="49" spans="2:32" s="4" customFormat="1" x14ac:dyDescent="0.2">
      <c r="B49" s="7"/>
      <c r="AF49" s="16"/>
    </row>
    <row r="50" spans="2:32" s="4" customFormat="1" x14ac:dyDescent="0.2">
      <c r="B50" s="7"/>
      <c r="C50" s="10"/>
      <c r="AF50" s="16"/>
    </row>
    <row r="51" spans="2:32" s="4" customFormat="1" x14ac:dyDescent="0.2">
      <c r="B51" s="7"/>
      <c r="AF51" s="16"/>
    </row>
    <row r="52" spans="2:32" s="4" customFormat="1" x14ac:dyDescent="0.2">
      <c r="B52" s="7"/>
      <c r="L52" s="10"/>
      <c r="AF52" s="16"/>
    </row>
    <row r="53" spans="2:32" s="4" customFormat="1" x14ac:dyDescent="0.2">
      <c r="B53" s="7"/>
      <c r="AF53" s="16"/>
    </row>
    <row r="54" spans="2:32" s="4" customFormat="1" x14ac:dyDescent="0.2">
      <c r="B54" s="7"/>
      <c r="AF54" s="16"/>
    </row>
    <row r="55" spans="2:32" s="4" customFormat="1" x14ac:dyDescent="0.2">
      <c r="B55" s="7"/>
      <c r="AF55" s="16"/>
    </row>
    <row r="56" spans="2:32" s="4" customFormat="1" x14ac:dyDescent="0.2">
      <c r="B56" s="7"/>
      <c r="C56" s="10"/>
      <c r="AF56" s="16"/>
    </row>
    <row r="57" spans="2:32" s="4" customFormat="1" ht="15.75" x14ac:dyDescent="0.25">
      <c r="B57" s="7"/>
      <c r="C57" s="10"/>
      <c r="P57" s="3"/>
      <c r="AF57" s="16"/>
    </row>
    <row r="58" spans="2:32" s="4" customFormat="1" ht="15.75" x14ac:dyDescent="0.25">
      <c r="B58" s="7"/>
      <c r="H58" s="10"/>
      <c r="P58" s="3"/>
      <c r="AF58" s="16"/>
    </row>
    <row r="59" spans="2:32" s="4" customFormat="1" ht="15.75" x14ac:dyDescent="0.25">
      <c r="B59" s="7"/>
      <c r="P59" s="3"/>
      <c r="AF59" s="16"/>
    </row>
    <row r="60" spans="2:32" s="4" customFormat="1" ht="15.75" x14ac:dyDescent="0.25">
      <c r="B60" s="7"/>
      <c r="P60" s="3"/>
      <c r="AF60" s="16"/>
    </row>
    <row r="61" spans="2:32" s="4" customFormat="1" ht="15.75" x14ac:dyDescent="0.25">
      <c r="B61" s="7"/>
      <c r="P61" s="3"/>
      <c r="AF61" s="16"/>
    </row>
    <row r="62" spans="2:32" s="4" customFormat="1" ht="15.75" x14ac:dyDescent="0.25">
      <c r="B62" s="7"/>
      <c r="P62" s="3"/>
      <c r="AF62" s="16"/>
    </row>
    <row r="63" spans="2:32" s="4" customFormat="1" ht="15.75" x14ac:dyDescent="0.25">
      <c r="B63" s="7"/>
      <c r="C63" s="10"/>
      <c r="L63" s="10"/>
      <c r="P63" s="3"/>
      <c r="AF63" s="16"/>
    </row>
    <row r="64" spans="2:32" s="4" customFormat="1" ht="15.75" x14ac:dyDescent="0.25">
      <c r="B64" s="7"/>
      <c r="P64" s="3"/>
      <c r="AF64" s="16"/>
    </row>
    <row r="65" spans="2:32" s="4" customFormat="1" ht="15.75" x14ac:dyDescent="0.25">
      <c r="B65" s="7"/>
      <c r="P65" s="3"/>
      <c r="AF65" s="16"/>
    </row>
    <row r="66" spans="2:32" s="4" customFormat="1" ht="15.75" x14ac:dyDescent="0.25">
      <c r="B66" s="7"/>
      <c r="P66" s="3"/>
      <c r="AF66" s="16"/>
    </row>
    <row r="67" spans="2:32" s="4" customFormat="1" ht="15.75" x14ac:dyDescent="0.25">
      <c r="B67" s="7"/>
      <c r="P67" s="3"/>
      <c r="AF67" s="16"/>
    </row>
    <row r="68" spans="2:32" s="4" customFormat="1" x14ac:dyDescent="0.2">
      <c r="B68" s="7"/>
      <c r="AF68" s="16"/>
    </row>
    <row r="69" spans="2:32" s="4" customFormat="1" x14ac:dyDescent="0.2">
      <c r="B69" s="7"/>
      <c r="AF69" s="16"/>
    </row>
    <row r="70" spans="2:32" s="4" customFormat="1" x14ac:dyDescent="0.2">
      <c r="B70" s="7"/>
      <c r="AF70" s="16"/>
    </row>
    <row r="71" spans="2:32" s="4" customFormat="1" x14ac:dyDescent="0.2">
      <c r="B71" s="7"/>
      <c r="AF71" s="16"/>
    </row>
    <row r="72" spans="2:32" s="4" customFormat="1" x14ac:dyDescent="0.2">
      <c r="B72" s="7"/>
      <c r="AF72" s="16"/>
    </row>
    <row r="73" spans="2:32" s="4" customFormat="1" x14ac:dyDescent="0.2">
      <c r="B73" s="7"/>
      <c r="AF73" s="16"/>
    </row>
    <row r="74" spans="2:32" s="4" customFormat="1" x14ac:dyDescent="0.2">
      <c r="B74" s="7"/>
      <c r="AF74" s="16"/>
    </row>
    <row r="75" spans="2:32" s="4" customFormat="1" x14ac:dyDescent="0.2">
      <c r="B75" s="7"/>
      <c r="AF75" s="16"/>
    </row>
    <row r="76" spans="2:32" s="4" customFormat="1" x14ac:dyDescent="0.2">
      <c r="B76" s="7"/>
      <c r="AF76" s="16"/>
    </row>
    <row r="77" spans="2:32" s="4" customFormat="1" x14ac:dyDescent="0.2">
      <c r="B77" s="11"/>
      <c r="AF77" s="16"/>
    </row>
    <row r="78" spans="2:32" s="4" customFormat="1" x14ac:dyDescent="0.2">
      <c r="B78" s="11"/>
      <c r="AF78" s="16"/>
    </row>
    <row r="79" spans="2:32" s="3" customFormat="1" ht="15.75" x14ac:dyDescent="0.25">
      <c r="B79" s="12"/>
      <c r="AF79" s="16"/>
    </row>
    <row r="80" spans="2:32" s="4" customFormat="1" x14ac:dyDescent="0.2">
      <c r="B80" s="7"/>
      <c r="AF80" s="16"/>
    </row>
    <row r="81" spans="2:32" s="4" customFormat="1" ht="15.75" x14ac:dyDescent="0.25">
      <c r="B81" s="9"/>
      <c r="AF81" s="16"/>
    </row>
    <row r="82" spans="2:32" s="4" customFormat="1" x14ac:dyDescent="0.2">
      <c r="B82" s="7"/>
      <c r="AF82" s="16"/>
    </row>
    <row r="83" spans="2:32" s="4" customFormat="1" x14ac:dyDescent="0.2">
      <c r="B83" s="7"/>
      <c r="AF83" s="16"/>
    </row>
    <row r="84" spans="2:32" s="4" customFormat="1" x14ac:dyDescent="0.2">
      <c r="B84" s="7"/>
      <c r="AF84" s="16"/>
    </row>
    <row r="85" spans="2:32" s="4" customFormat="1" x14ac:dyDescent="0.2">
      <c r="B85" s="7"/>
      <c r="AF85" s="16"/>
    </row>
    <row r="86" spans="2:32" s="4" customFormat="1" x14ac:dyDescent="0.2">
      <c r="B86" s="7"/>
      <c r="AF86" s="16"/>
    </row>
    <row r="87" spans="2:32" s="4" customFormat="1" x14ac:dyDescent="0.2">
      <c r="B87" s="7"/>
      <c r="AF87" s="16"/>
    </row>
    <row r="88" spans="2:32" s="4" customFormat="1" x14ac:dyDescent="0.2">
      <c r="B88" s="7"/>
      <c r="AF88" s="16"/>
    </row>
    <row r="89" spans="2:32" s="4" customFormat="1" x14ac:dyDescent="0.2">
      <c r="B89" s="7"/>
      <c r="AF89" s="16"/>
    </row>
    <row r="90" spans="2:32" s="4" customFormat="1" x14ac:dyDescent="0.2">
      <c r="B90" s="7"/>
      <c r="AF90" s="16"/>
    </row>
    <row r="91" spans="2:32" s="4" customFormat="1" x14ac:dyDescent="0.2">
      <c r="B91" s="7"/>
      <c r="AF91" s="16"/>
    </row>
    <row r="92" spans="2:32" s="4" customFormat="1" x14ac:dyDescent="0.2">
      <c r="B92" s="7"/>
      <c r="AF92" s="16"/>
    </row>
    <row r="93" spans="2:32" s="4" customFormat="1" x14ac:dyDescent="0.2">
      <c r="B93" s="7"/>
      <c r="AF93" s="16"/>
    </row>
    <row r="94" spans="2:32" s="4" customFormat="1" x14ac:dyDescent="0.2">
      <c r="B94" s="7"/>
      <c r="AF94" s="16"/>
    </row>
    <row r="95" spans="2:32" s="4" customFormat="1" x14ac:dyDescent="0.2">
      <c r="B95" s="7"/>
      <c r="AF95" s="16"/>
    </row>
    <row r="96" spans="2:32" s="4" customFormat="1" x14ac:dyDescent="0.2">
      <c r="B96" s="7"/>
      <c r="AF96" s="16"/>
    </row>
    <row r="97" spans="2:32" s="4" customFormat="1" x14ac:dyDescent="0.2">
      <c r="B97" s="7"/>
      <c r="AF97" s="16"/>
    </row>
    <row r="98" spans="2:32" s="4" customFormat="1" x14ac:dyDescent="0.2">
      <c r="B98" s="7"/>
      <c r="AF98" s="16"/>
    </row>
    <row r="99" spans="2:32" s="4" customFormat="1" x14ac:dyDescent="0.2">
      <c r="B99" s="7"/>
      <c r="AF99" s="16"/>
    </row>
    <row r="100" spans="2:32" s="4" customFormat="1" x14ac:dyDescent="0.2">
      <c r="B100" s="7"/>
      <c r="AF100" s="16"/>
    </row>
    <row r="101" spans="2:32" s="4" customFormat="1" x14ac:dyDescent="0.2">
      <c r="B101" s="7"/>
      <c r="AF101" s="16"/>
    </row>
    <row r="102" spans="2:32" s="4" customFormat="1" x14ac:dyDescent="0.2">
      <c r="B102" s="7"/>
      <c r="AF102" s="16"/>
    </row>
    <row r="103" spans="2:32" s="4" customFormat="1" x14ac:dyDescent="0.2">
      <c r="B103" s="7"/>
      <c r="AF103" s="16"/>
    </row>
    <row r="104" spans="2:32" s="4" customFormat="1" x14ac:dyDescent="0.2">
      <c r="B104" s="7"/>
      <c r="AF104" s="16"/>
    </row>
    <row r="105" spans="2:32" s="4" customFormat="1" x14ac:dyDescent="0.2">
      <c r="B105" s="7"/>
      <c r="AF105" s="16"/>
    </row>
    <row r="106" spans="2:32" s="4" customFormat="1" x14ac:dyDescent="0.2">
      <c r="B106" s="7"/>
      <c r="AF106" s="16"/>
    </row>
    <row r="107" spans="2:32" s="4" customFormat="1" x14ac:dyDescent="0.2">
      <c r="B107" s="7"/>
      <c r="AF107" s="16"/>
    </row>
    <row r="108" spans="2:32" s="4" customFormat="1" x14ac:dyDescent="0.2">
      <c r="B108" s="7"/>
      <c r="AF108" s="16"/>
    </row>
    <row r="109" spans="2:32" s="4" customFormat="1" x14ac:dyDescent="0.2">
      <c r="B109" s="7"/>
      <c r="AF109" s="16"/>
    </row>
    <row r="110" spans="2:32" s="4" customFormat="1" x14ac:dyDescent="0.2">
      <c r="B110" s="7"/>
      <c r="AF110" s="16"/>
    </row>
    <row r="111" spans="2:32" s="4" customFormat="1" x14ac:dyDescent="0.2">
      <c r="B111" s="7"/>
      <c r="AF111" s="16"/>
    </row>
    <row r="112" spans="2:32" s="4" customFormat="1" x14ac:dyDescent="0.2">
      <c r="B112" s="7"/>
      <c r="AF112" s="16"/>
    </row>
    <row r="113" spans="2:32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F113" s="16"/>
    </row>
    <row r="114" spans="2:32" x14ac:dyDescent="0.2">
      <c r="B114" s="5"/>
    </row>
    <row r="115" spans="2:32" x14ac:dyDescent="0.2">
      <c r="B115" s="5"/>
    </row>
    <row r="116" spans="2:32" x14ac:dyDescent="0.2">
      <c r="B116" s="5"/>
    </row>
    <row r="117" spans="2:32" x14ac:dyDescent="0.2">
      <c r="B117" s="5"/>
    </row>
    <row r="118" spans="2:32" x14ac:dyDescent="0.2">
      <c r="B118" s="5"/>
    </row>
    <row r="119" spans="2:32" x14ac:dyDescent="0.2">
      <c r="B119" s="5"/>
    </row>
    <row r="120" spans="2:32" x14ac:dyDescent="0.2">
      <c r="B120" s="5"/>
    </row>
    <row r="121" spans="2:32" x14ac:dyDescent="0.2">
      <c r="B121" s="5"/>
    </row>
    <row r="122" spans="2:32" x14ac:dyDescent="0.2">
      <c r="B122" s="5"/>
    </row>
    <row r="123" spans="2:32" x14ac:dyDescent="0.2">
      <c r="B123" s="5"/>
    </row>
    <row r="124" spans="2:32" x14ac:dyDescent="0.2">
      <c r="B124" s="5"/>
    </row>
    <row r="125" spans="2:32" x14ac:dyDescent="0.2">
      <c r="B125" s="5"/>
    </row>
    <row r="126" spans="2:32" x14ac:dyDescent="0.2">
      <c r="B126" s="5"/>
    </row>
    <row r="127" spans="2:32" x14ac:dyDescent="0.2">
      <c r="B127" s="5"/>
    </row>
    <row r="128" spans="2:3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C167-FFFE-4D72-932A-CB3B923165E3}">
  <dimension ref="A1:AJ1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E26" sqref="AE26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13</v>
      </c>
      <c r="B1" s="14" t="s">
        <v>144</v>
      </c>
      <c r="C1" s="14" t="s">
        <v>145</v>
      </c>
      <c r="D1" s="14" t="s">
        <v>146</v>
      </c>
      <c r="E1" s="14" t="s">
        <v>147</v>
      </c>
      <c r="F1" s="14" t="s">
        <v>148</v>
      </c>
      <c r="G1" s="14" t="s">
        <v>149</v>
      </c>
      <c r="H1" s="14" t="s">
        <v>143</v>
      </c>
      <c r="I1" s="14" t="s">
        <v>150</v>
      </c>
      <c r="J1" s="14" t="s">
        <v>151</v>
      </c>
      <c r="K1" s="14" t="s">
        <v>152</v>
      </c>
      <c r="L1" s="14" t="s">
        <v>153</v>
      </c>
      <c r="M1" s="14" t="s">
        <v>154</v>
      </c>
      <c r="N1" s="14" t="s">
        <v>155</v>
      </c>
      <c r="O1" s="14" t="s">
        <v>156</v>
      </c>
      <c r="P1" s="14" t="s">
        <v>157</v>
      </c>
      <c r="Q1" s="14" t="s">
        <v>158</v>
      </c>
      <c r="R1" s="14" t="s">
        <v>159</v>
      </c>
      <c r="S1" s="14" t="s">
        <v>160</v>
      </c>
      <c r="T1" s="14" t="s">
        <v>161</v>
      </c>
      <c r="U1" s="14" t="s">
        <v>162</v>
      </c>
      <c r="V1" s="14" t="s">
        <v>163</v>
      </c>
      <c r="W1" s="14" t="s">
        <v>164</v>
      </c>
      <c r="X1" s="14" t="s">
        <v>165</v>
      </c>
      <c r="Y1" s="14" t="s">
        <v>166</v>
      </c>
      <c r="Z1" s="14" t="s">
        <v>168</v>
      </c>
      <c r="AA1" s="14" t="s">
        <v>167</v>
      </c>
      <c r="AB1" s="14" t="s">
        <v>169</v>
      </c>
      <c r="AC1" s="14" t="s">
        <v>170</v>
      </c>
      <c r="AD1" s="14" t="s">
        <v>171</v>
      </c>
      <c r="AE1" s="14" t="s">
        <v>172</v>
      </c>
      <c r="AF1" s="15" t="s">
        <v>173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E516-0E9E-4231-9C42-6E5BBCF2331D}">
  <dimension ref="A1:AI190"/>
  <sheetViews>
    <sheetView workbookViewId="0">
      <pane xSplit="1" ySplit="1" topLeftCell="V24" activePane="bottomRight" state="frozen"/>
      <selection pane="topRight" activeCell="B1" sqref="B1"/>
      <selection pane="bottomLeft" activeCell="A2" sqref="A2"/>
      <selection pane="bottomRight" activeCell="A41" sqref="A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1" width="7.75" style="2" customWidth="1"/>
    <col min="32" max="32" width="18.625" style="15" bestFit="1" customWidth="1"/>
    <col min="33" max="16384" width="10.75" style="2"/>
  </cols>
  <sheetData>
    <row r="1" spans="1:35" s="15" customFormat="1" ht="15.75" x14ac:dyDescent="0.25">
      <c r="A1" s="28" t="s">
        <v>14</v>
      </c>
      <c r="B1" s="14" t="s">
        <v>176</v>
      </c>
      <c r="C1" s="14" t="s">
        <v>177</v>
      </c>
      <c r="D1" s="14" t="s">
        <v>178</v>
      </c>
      <c r="E1" s="14" t="s">
        <v>179</v>
      </c>
      <c r="F1" s="14" t="s">
        <v>180</v>
      </c>
      <c r="G1" s="14" t="s">
        <v>181</v>
      </c>
      <c r="H1" s="14" t="s">
        <v>182</v>
      </c>
      <c r="I1" s="14" t="s">
        <v>183</v>
      </c>
      <c r="J1" s="14" t="s">
        <v>184</v>
      </c>
      <c r="K1" s="14" t="s">
        <v>185</v>
      </c>
      <c r="L1" s="14" t="s">
        <v>186</v>
      </c>
      <c r="M1" s="14" t="s">
        <v>187</v>
      </c>
      <c r="N1" s="14" t="s">
        <v>188</v>
      </c>
      <c r="O1" s="14" t="s">
        <v>189</v>
      </c>
      <c r="P1" s="14" t="s">
        <v>190</v>
      </c>
      <c r="Q1" s="14" t="s">
        <v>193</v>
      </c>
      <c r="R1" s="14" t="s">
        <v>191</v>
      </c>
      <c r="S1" s="14" t="s">
        <v>192</v>
      </c>
      <c r="T1" s="14" t="s">
        <v>194</v>
      </c>
      <c r="U1" s="14" t="s">
        <v>195</v>
      </c>
      <c r="V1" s="14" t="s">
        <v>196</v>
      </c>
      <c r="W1" s="14" t="s">
        <v>197</v>
      </c>
      <c r="X1" s="14" t="s">
        <v>198</v>
      </c>
      <c r="Y1" s="14" t="s">
        <v>199</v>
      </c>
      <c r="Z1" s="14" t="s">
        <v>200</v>
      </c>
      <c r="AA1" s="14" t="s">
        <v>201</v>
      </c>
      <c r="AB1" s="14" t="s">
        <v>202</v>
      </c>
      <c r="AC1" s="14" t="s">
        <v>203</v>
      </c>
      <c r="AD1" s="14" t="s">
        <v>174</v>
      </c>
      <c r="AE1" s="15" t="s">
        <v>175</v>
      </c>
      <c r="AF1" s="13" t="s">
        <v>52</v>
      </c>
      <c r="AG1" s="14"/>
      <c r="AH1" s="14"/>
      <c r="AI1" s="14"/>
    </row>
    <row r="2" spans="1:35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4" t="s">
        <v>0</v>
      </c>
    </row>
    <row r="3" spans="1:35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5"/>
    </row>
    <row r="4" spans="1:35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5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5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9">
        <f>SUM(B2:AE6)</f>
        <v>0</v>
      </c>
    </row>
    <row r="7" spans="1:35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4" t="s">
        <v>1</v>
      </c>
    </row>
    <row r="8" spans="1:35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5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5"/>
    </row>
    <row r="10" spans="1:35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>
        <f>SUM(B7:AE10)</f>
        <v>0</v>
      </c>
    </row>
    <row r="11" spans="1:35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4" t="s">
        <v>3</v>
      </c>
    </row>
    <row r="12" spans="1:35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5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5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>
        <f>SUM(B11:AE14)</f>
        <v>0</v>
      </c>
    </row>
    <row r="15" spans="1:35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4" t="s">
        <v>2</v>
      </c>
    </row>
    <row r="16" spans="1:35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2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2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2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>
        <f>SUM(B15:AE19)</f>
        <v>0</v>
      </c>
    </row>
    <row r="20" spans="1:32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24" t="s">
        <v>4</v>
      </c>
    </row>
    <row r="21" spans="1:32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2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>
        <f>SUM(B20:AE24)</f>
        <v>0</v>
      </c>
    </row>
    <row r="25" spans="1:32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4" t="s">
        <v>20</v>
      </c>
    </row>
    <row r="26" spans="1:32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2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>
        <f>SUM(B25:AE29)</f>
        <v>0</v>
      </c>
    </row>
    <row r="30" spans="1:32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4" t="s">
        <v>5</v>
      </c>
    </row>
    <row r="31" spans="1:32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2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2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>
        <f>SUM(B30:AE34)</f>
        <v>0</v>
      </c>
    </row>
    <row r="35" spans="1:32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6" t="s">
        <v>12</v>
      </c>
    </row>
    <row r="36" spans="1:32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0"/>
    </row>
    <row r="37" spans="1:32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>
        <f>SUM(B35:AE37)</f>
        <v>0</v>
      </c>
    </row>
    <row r="38" spans="1:32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6" t="s">
        <v>12</v>
      </c>
    </row>
    <row r="39" spans="1:32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2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>
        <f>SUM(B38:AE40)</f>
        <v>0</v>
      </c>
    </row>
    <row r="41" spans="1:32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4" t="s">
        <v>388</v>
      </c>
    </row>
    <row r="42" spans="1:32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2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2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>
        <f>SUM(B41:AE44)</f>
        <v>0</v>
      </c>
    </row>
    <row r="45" spans="1:32" s="15" customFormat="1" ht="15.75" x14ac:dyDescent="0.25">
      <c r="A45" s="24" t="s">
        <v>19</v>
      </c>
      <c r="B45" s="25">
        <f>SUM(B2:B44)</f>
        <v>0</v>
      </c>
      <c r="C45" s="25">
        <f t="shared" ref="C45:AE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7">
        <f>SUM(B45:AE45)</f>
        <v>0</v>
      </c>
    </row>
    <row r="46" spans="1:32" x14ac:dyDescent="0.2">
      <c r="B46" s="5"/>
    </row>
    <row r="47" spans="1:32" s="4" customFormat="1" ht="15.75" x14ac:dyDescent="0.25">
      <c r="B47" s="9"/>
      <c r="AF47" s="16"/>
    </row>
    <row r="48" spans="1:32" s="4" customFormat="1" x14ac:dyDescent="0.2">
      <c r="B48" s="7"/>
      <c r="AF48" s="16"/>
    </row>
    <row r="49" spans="2:32" s="4" customFormat="1" x14ac:dyDescent="0.2">
      <c r="B49" s="7"/>
      <c r="AF49" s="16"/>
    </row>
    <row r="50" spans="2:32" s="4" customFormat="1" x14ac:dyDescent="0.2">
      <c r="B50" s="7"/>
      <c r="C50" s="10"/>
      <c r="AF50" s="16"/>
    </row>
    <row r="51" spans="2:32" s="4" customFormat="1" x14ac:dyDescent="0.2">
      <c r="B51" s="7"/>
      <c r="AF51" s="16"/>
    </row>
    <row r="52" spans="2:32" s="4" customFormat="1" x14ac:dyDescent="0.2">
      <c r="B52" s="7"/>
      <c r="L52" s="10"/>
      <c r="AF52" s="16"/>
    </row>
    <row r="53" spans="2:32" s="4" customFormat="1" x14ac:dyDescent="0.2">
      <c r="B53" s="7"/>
      <c r="AF53" s="16"/>
    </row>
    <row r="54" spans="2:32" s="4" customFormat="1" x14ac:dyDescent="0.2">
      <c r="B54" s="7"/>
      <c r="AF54" s="16"/>
    </row>
    <row r="55" spans="2:32" s="4" customFormat="1" x14ac:dyDescent="0.2">
      <c r="B55" s="7"/>
      <c r="AF55" s="16"/>
    </row>
    <row r="56" spans="2:32" s="4" customFormat="1" x14ac:dyDescent="0.2">
      <c r="B56" s="7"/>
      <c r="C56" s="10"/>
      <c r="AF56" s="16"/>
    </row>
    <row r="57" spans="2:32" s="4" customFormat="1" ht="15.75" x14ac:dyDescent="0.25">
      <c r="B57" s="7"/>
      <c r="C57" s="10"/>
      <c r="P57" s="3"/>
      <c r="AF57" s="16"/>
    </row>
    <row r="58" spans="2:32" s="4" customFormat="1" ht="15.75" x14ac:dyDescent="0.25">
      <c r="B58" s="7"/>
      <c r="H58" s="10"/>
      <c r="P58" s="3"/>
      <c r="AF58" s="16"/>
    </row>
    <row r="59" spans="2:32" s="4" customFormat="1" ht="15.75" x14ac:dyDescent="0.25">
      <c r="B59" s="7"/>
      <c r="P59" s="3"/>
      <c r="AF59" s="16"/>
    </row>
    <row r="60" spans="2:32" s="4" customFormat="1" ht="15.75" x14ac:dyDescent="0.25">
      <c r="B60" s="7"/>
      <c r="P60" s="3"/>
      <c r="AF60" s="16"/>
    </row>
    <row r="61" spans="2:32" s="4" customFormat="1" ht="15.75" x14ac:dyDescent="0.25">
      <c r="B61" s="7"/>
      <c r="P61" s="3"/>
      <c r="AF61" s="16"/>
    </row>
    <row r="62" spans="2:32" s="4" customFormat="1" ht="15.75" x14ac:dyDescent="0.25">
      <c r="B62" s="7"/>
      <c r="P62" s="3"/>
      <c r="AF62" s="16"/>
    </row>
    <row r="63" spans="2:32" s="4" customFormat="1" ht="15.75" x14ac:dyDescent="0.25">
      <c r="B63" s="7"/>
      <c r="C63" s="10"/>
      <c r="L63" s="10"/>
      <c r="P63" s="3"/>
      <c r="AF63" s="16"/>
    </row>
    <row r="64" spans="2:32" s="4" customFormat="1" ht="15.75" x14ac:dyDescent="0.25">
      <c r="B64" s="7"/>
      <c r="P64" s="3"/>
      <c r="AF64" s="16"/>
    </row>
    <row r="65" spans="2:32" s="4" customFormat="1" ht="15.75" x14ac:dyDescent="0.25">
      <c r="B65" s="7"/>
      <c r="P65" s="3"/>
      <c r="AF65" s="16"/>
    </row>
    <row r="66" spans="2:32" s="4" customFormat="1" ht="15.75" x14ac:dyDescent="0.25">
      <c r="B66" s="7"/>
      <c r="P66" s="3"/>
      <c r="AF66" s="16"/>
    </row>
    <row r="67" spans="2:32" s="4" customFormat="1" ht="15.75" x14ac:dyDescent="0.25">
      <c r="B67" s="7"/>
      <c r="P67" s="3"/>
      <c r="AF67" s="16"/>
    </row>
    <row r="68" spans="2:32" s="4" customFormat="1" x14ac:dyDescent="0.2">
      <c r="B68" s="7"/>
      <c r="AF68" s="16"/>
    </row>
    <row r="69" spans="2:32" s="4" customFormat="1" x14ac:dyDescent="0.2">
      <c r="B69" s="7"/>
      <c r="AF69" s="16"/>
    </row>
    <row r="70" spans="2:32" s="4" customFormat="1" x14ac:dyDescent="0.2">
      <c r="B70" s="7"/>
      <c r="AF70" s="16"/>
    </row>
    <row r="71" spans="2:32" s="4" customFormat="1" x14ac:dyDescent="0.2">
      <c r="B71" s="7"/>
      <c r="AF71" s="16"/>
    </row>
    <row r="72" spans="2:32" s="4" customFormat="1" x14ac:dyDescent="0.2">
      <c r="B72" s="7"/>
      <c r="AF72" s="16"/>
    </row>
    <row r="73" spans="2:32" s="4" customFormat="1" x14ac:dyDescent="0.2">
      <c r="B73" s="7"/>
      <c r="AF73" s="16"/>
    </row>
    <row r="74" spans="2:32" s="4" customFormat="1" x14ac:dyDescent="0.2">
      <c r="B74" s="7"/>
      <c r="AF74" s="16"/>
    </row>
    <row r="75" spans="2:32" s="4" customFormat="1" x14ac:dyDescent="0.2">
      <c r="B75" s="7"/>
      <c r="AF75" s="16"/>
    </row>
    <row r="76" spans="2:32" s="4" customFormat="1" x14ac:dyDescent="0.2">
      <c r="B76" s="7"/>
      <c r="AF76" s="16"/>
    </row>
    <row r="77" spans="2:32" s="4" customFormat="1" x14ac:dyDescent="0.2">
      <c r="B77" s="11"/>
      <c r="AF77" s="16"/>
    </row>
    <row r="78" spans="2:32" s="4" customFormat="1" x14ac:dyDescent="0.2">
      <c r="B78" s="11"/>
      <c r="AF78" s="16"/>
    </row>
    <row r="79" spans="2:32" s="3" customFormat="1" ht="15.75" x14ac:dyDescent="0.25">
      <c r="B79" s="12"/>
      <c r="AF79" s="16"/>
    </row>
    <row r="80" spans="2:32" s="4" customFormat="1" x14ac:dyDescent="0.2">
      <c r="B80" s="7"/>
      <c r="AF80" s="16"/>
    </row>
    <row r="81" spans="2:32" s="4" customFormat="1" ht="15.75" x14ac:dyDescent="0.25">
      <c r="B81" s="9"/>
      <c r="AF81" s="16"/>
    </row>
    <row r="82" spans="2:32" s="4" customFormat="1" x14ac:dyDescent="0.2">
      <c r="B82" s="7"/>
      <c r="AF82" s="16"/>
    </row>
    <row r="83" spans="2:32" s="4" customFormat="1" x14ac:dyDescent="0.2">
      <c r="B83" s="7"/>
      <c r="AF83" s="16"/>
    </row>
    <row r="84" spans="2:32" s="4" customFormat="1" x14ac:dyDescent="0.2">
      <c r="B84" s="7"/>
      <c r="AF84" s="16"/>
    </row>
    <row r="85" spans="2:32" s="4" customFormat="1" x14ac:dyDescent="0.2">
      <c r="B85" s="7"/>
      <c r="AF85" s="16"/>
    </row>
    <row r="86" spans="2:32" s="4" customFormat="1" x14ac:dyDescent="0.2">
      <c r="B86" s="7"/>
      <c r="AF86" s="16"/>
    </row>
    <row r="87" spans="2:32" s="4" customFormat="1" x14ac:dyDescent="0.2">
      <c r="B87" s="7"/>
      <c r="AF87" s="16"/>
    </row>
    <row r="88" spans="2:32" s="4" customFormat="1" x14ac:dyDescent="0.2">
      <c r="B88" s="7"/>
      <c r="AF88" s="16"/>
    </row>
    <row r="89" spans="2:32" s="4" customFormat="1" x14ac:dyDescent="0.2">
      <c r="B89" s="7"/>
      <c r="AF89" s="16"/>
    </row>
    <row r="90" spans="2:32" s="4" customFormat="1" x14ac:dyDescent="0.2">
      <c r="B90" s="7"/>
      <c r="AF90" s="16"/>
    </row>
    <row r="91" spans="2:32" s="4" customFormat="1" x14ac:dyDescent="0.2">
      <c r="B91" s="7"/>
      <c r="AF91" s="16"/>
    </row>
    <row r="92" spans="2:32" s="4" customFormat="1" x14ac:dyDescent="0.2">
      <c r="B92" s="7"/>
      <c r="AF92" s="16"/>
    </row>
    <row r="93" spans="2:32" s="4" customFormat="1" x14ac:dyDescent="0.2">
      <c r="B93" s="7"/>
      <c r="AF93" s="16"/>
    </row>
    <row r="94" spans="2:32" s="4" customFormat="1" x14ac:dyDescent="0.2">
      <c r="B94" s="7"/>
      <c r="AF94" s="16"/>
    </row>
    <row r="95" spans="2:32" s="4" customFormat="1" x14ac:dyDescent="0.2">
      <c r="B95" s="7"/>
      <c r="AF95" s="16"/>
    </row>
    <row r="96" spans="2:32" s="4" customFormat="1" x14ac:dyDescent="0.2">
      <c r="B96" s="7"/>
      <c r="AF96" s="16"/>
    </row>
    <row r="97" spans="2:32" s="4" customFormat="1" x14ac:dyDescent="0.2">
      <c r="B97" s="7"/>
      <c r="AF97" s="16"/>
    </row>
    <row r="98" spans="2:32" s="4" customFormat="1" x14ac:dyDescent="0.2">
      <c r="B98" s="7"/>
      <c r="AF98" s="16"/>
    </row>
    <row r="99" spans="2:32" s="4" customFormat="1" x14ac:dyDescent="0.2">
      <c r="B99" s="7"/>
      <c r="AF99" s="16"/>
    </row>
    <row r="100" spans="2:32" s="4" customFormat="1" x14ac:dyDescent="0.2">
      <c r="B100" s="7"/>
      <c r="AF100" s="16"/>
    </row>
    <row r="101" spans="2:32" s="4" customFormat="1" x14ac:dyDescent="0.2">
      <c r="B101" s="7"/>
      <c r="AF101" s="16"/>
    </row>
    <row r="102" spans="2:32" s="4" customFormat="1" x14ac:dyDescent="0.2">
      <c r="B102" s="7"/>
      <c r="AF102" s="16"/>
    </row>
    <row r="103" spans="2:32" s="4" customFormat="1" x14ac:dyDescent="0.2">
      <c r="B103" s="7"/>
      <c r="AF103" s="16"/>
    </row>
    <row r="104" spans="2:32" s="4" customFormat="1" x14ac:dyDescent="0.2">
      <c r="B104" s="7"/>
      <c r="AF104" s="16"/>
    </row>
    <row r="105" spans="2:32" s="4" customFormat="1" x14ac:dyDescent="0.2">
      <c r="B105" s="7"/>
      <c r="AF105" s="16"/>
    </row>
    <row r="106" spans="2:32" s="4" customFormat="1" x14ac:dyDescent="0.2">
      <c r="B106" s="7"/>
      <c r="AF106" s="16"/>
    </row>
    <row r="107" spans="2:32" s="4" customFormat="1" x14ac:dyDescent="0.2">
      <c r="B107" s="7"/>
      <c r="AF107" s="16"/>
    </row>
    <row r="108" spans="2:32" s="4" customFormat="1" x14ac:dyDescent="0.2">
      <c r="B108" s="7"/>
      <c r="AF108" s="16"/>
    </row>
    <row r="109" spans="2:32" s="4" customFormat="1" x14ac:dyDescent="0.2">
      <c r="B109" s="7"/>
      <c r="AF109" s="16"/>
    </row>
    <row r="110" spans="2:32" s="4" customFormat="1" x14ac:dyDescent="0.2">
      <c r="B110" s="7"/>
      <c r="AF110" s="16"/>
    </row>
    <row r="111" spans="2:32" s="4" customFormat="1" x14ac:dyDescent="0.2">
      <c r="B111" s="7"/>
      <c r="AF111" s="16"/>
    </row>
    <row r="112" spans="2:32" s="4" customFormat="1" x14ac:dyDescent="0.2">
      <c r="B112" s="7"/>
      <c r="AF112" s="16"/>
    </row>
    <row r="113" spans="2:32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F113" s="16"/>
    </row>
    <row r="114" spans="2:32" x14ac:dyDescent="0.2">
      <c r="B114" s="5"/>
    </row>
    <row r="115" spans="2:32" x14ac:dyDescent="0.2">
      <c r="B115" s="5"/>
    </row>
    <row r="116" spans="2:32" x14ac:dyDescent="0.2">
      <c r="B116" s="5"/>
    </row>
    <row r="117" spans="2:32" x14ac:dyDescent="0.2">
      <c r="B117" s="5"/>
    </row>
    <row r="118" spans="2:32" x14ac:dyDescent="0.2">
      <c r="B118" s="5"/>
    </row>
    <row r="119" spans="2:32" x14ac:dyDescent="0.2">
      <c r="B119" s="5"/>
    </row>
    <row r="120" spans="2:32" x14ac:dyDescent="0.2">
      <c r="B120" s="5"/>
    </row>
    <row r="121" spans="2:32" x14ac:dyDescent="0.2">
      <c r="B121" s="5"/>
    </row>
    <row r="122" spans="2:32" x14ac:dyDescent="0.2">
      <c r="B122" s="5"/>
    </row>
    <row r="123" spans="2:32" x14ac:dyDescent="0.2">
      <c r="B123" s="5"/>
    </row>
    <row r="124" spans="2:32" x14ac:dyDescent="0.2">
      <c r="B124" s="5"/>
    </row>
    <row r="125" spans="2:32" x14ac:dyDescent="0.2">
      <c r="B125" s="5"/>
    </row>
    <row r="126" spans="2:32" x14ac:dyDescent="0.2">
      <c r="B126" s="5"/>
    </row>
    <row r="127" spans="2:32" x14ac:dyDescent="0.2">
      <c r="B127" s="5"/>
    </row>
    <row r="128" spans="2:3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C575B-4E53-438F-B317-B4BBCC036E80}">
  <dimension ref="A1:AJ190"/>
  <sheetViews>
    <sheetView workbookViewId="0">
      <pane xSplit="1" ySplit="1" topLeftCell="U24" activePane="bottomRight" state="frozen"/>
      <selection pane="topRight" activeCell="B1" sqref="B1"/>
      <selection pane="bottomLeft" activeCell="A2" sqref="A2"/>
      <selection pane="bottomRight" activeCell="AG41" sqref="AG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15</v>
      </c>
      <c r="B1" s="14" t="s">
        <v>222</v>
      </c>
      <c r="C1" s="14" t="s">
        <v>223</v>
      </c>
      <c r="D1" s="14" t="s">
        <v>224</v>
      </c>
      <c r="E1" s="14" t="s">
        <v>225</v>
      </c>
      <c r="F1" s="14" t="s">
        <v>226</v>
      </c>
      <c r="G1" s="14" t="s">
        <v>227</v>
      </c>
      <c r="H1" s="14" t="s">
        <v>228</v>
      </c>
      <c r="I1" s="14" t="s">
        <v>229</v>
      </c>
      <c r="J1" s="14" t="s">
        <v>230</v>
      </c>
      <c r="K1" s="14" t="s">
        <v>231</v>
      </c>
      <c r="L1" s="14" t="s">
        <v>204</v>
      </c>
      <c r="M1" s="14" t="s">
        <v>205</v>
      </c>
      <c r="N1" s="14" t="s">
        <v>206</v>
      </c>
      <c r="O1" s="14" t="s">
        <v>207</v>
      </c>
      <c r="P1" s="14" t="s">
        <v>208</v>
      </c>
      <c r="Q1" s="14" t="s">
        <v>209</v>
      </c>
      <c r="R1" s="14" t="s">
        <v>210</v>
      </c>
      <c r="S1" s="14" t="s">
        <v>211</v>
      </c>
      <c r="T1" s="14" t="s">
        <v>212</v>
      </c>
      <c r="U1" s="14" t="s">
        <v>213</v>
      </c>
      <c r="V1" s="14" t="s">
        <v>214</v>
      </c>
      <c r="W1" s="14" t="s">
        <v>215</v>
      </c>
      <c r="X1" s="14" t="s">
        <v>216</v>
      </c>
      <c r="Y1" s="14" t="s">
        <v>217</v>
      </c>
      <c r="Z1" s="14" t="s">
        <v>218</v>
      </c>
      <c r="AA1" s="14" t="s">
        <v>219</v>
      </c>
      <c r="AB1" s="14" t="s">
        <v>220</v>
      </c>
      <c r="AC1" s="14" t="s">
        <v>221</v>
      </c>
      <c r="AD1" s="14" t="s">
        <v>232</v>
      </c>
      <c r="AE1" s="14" t="s">
        <v>233</v>
      </c>
      <c r="AF1" s="21" t="s">
        <v>234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E020D-88BD-4B13-BFA5-D686C9037A9E}">
  <dimension ref="A1:AJ190"/>
  <sheetViews>
    <sheetView workbookViewId="0">
      <pane xSplit="1" ySplit="1" topLeftCell="U2" activePane="bottomRight" state="frozen"/>
      <selection pane="topRight" activeCell="B1" sqref="B1"/>
      <selection pane="bottomLeft" activeCell="A2" sqref="A2"/>
      <selection pane="bottomRight" activeCell="AG41" sqref="AG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16</v>
      </c>
      <c r="B1" s="14" t="s">
        <v>238</v>
      </c>
      <c r="C1" s="14" t="s">
        <v>239</v>
      </c>
      <c r="D1" s="14" t="s">
        <v>240</v>
      </c>
      <c r="E1" s="14" t="s">
        <v>241</v>
      </c>
      <c r="F1" s="14" t="s">
        <v>242</v>
      </c>
      <c r="G1" s="14" t="s">
        <v>243</v>
      </c>
      <c r="H1" s="14" t="s">
        <v>244</v>
      </c>
      <c r="I1" s="14" t="s">
        <v>245</v>
      </c>
      <c r="J1" s="14" t="s">
        <v>246</v>
      </c>
      <c r="K1" s="14" t="s">
        <v>247</v>
      </c>
      <c r="L1" s="14" t="s">
        <v>248</v>
      </c>
      <c r="M1" s="14" t="s">
        <v>249</v>
      </c>
      <c r="N1" s="14" t="s">
        <v>250</v>
      </c>
      <c r="O1" s="14" t="s">
        <v>251</v>
      </c>
      <c r="P1" s="14" t="s">
        <v>252</v>
      </c>
      <c r="Q1" s="14" t="s">
        <v>253</v>
      </c>
      <c r="R1" s="14" t="s">
        <v>254</v>
      </c>
      <c r="S1" s="14" t="s">
        <v>255</v>
      </c>
      <c r="T1" s="14" t="s">
        <v>256</v>
      </c>
      <c r="U1" s="14" t="s">
        <v>257</v>
      </c>
      <c r="V1" s="14" t="s">
        <v>258</v>
      </c>
      <c r="W1" s="14" t="s">
        <v>259</v>
      </c>
      <c r="X1" s="14" t="s">
        <v>260</v>
      </c>
      <c r="Y1" s="14" t="s">
        <v>261</v>
      </c>
      <c r="Z1" s="14" t="s">
        <v>262</v>
      </c>
      <c r="AA1" s="14" t="s">
        <v>263</v>
      </c>
      <c r="AB1" s="14" t="s">
        <v>264</v>
      </c>
      <c r="AC1" s="14" t="s">
        <v>265</v>
      </c>
      <c r="AD1" s="14" t="s">
        <v>235</v>
      </c>
      <c r="AE1" s="14" t="s">
        <v>236</v>
      </c>
      <c r="AF1" s="15" t="s">
        <v>237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80F8-255D-4CF1-9AE1-03706C35CFE0}">
  <dimension ref="A1:AI190"/>
  <sheetViews>
    <sheetView workbookViewId="0">
      <pane xSplit="1" ySplit="1" topLeftCell="T20" activePane="bottomRight" state="frozen"/>
      <selection pane="topRight" activeCell="B1" sqref="B1"/>
      <selection pane="bottomLeft" activeCell="A2" sqref="A2"/>
      <selection pane="bottomRight" activeCell="AF41" sqref="AF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1" width="7.75" style="2" customWidth="1"/>
    <col min="32" max="32" width="18.625" style="15" bestFit="1" customWidth="1"/>
    <col min="33" max="16384" width="10.75" style="2"/>
  </cols>
  <sheetData>
    <row r="1" spans="1:35" s="15" customFormat="1" ht="15.75" x14ac:dyDescent="0.25">
      <c r="A1" s="28" t="s">
        <v>17</v>
      </c>
      <c r="B1" s="14" t="s">
        <v>295</v>
      </c>
      <c r="C1" s="14" t="s">
        <v>269</v>
      </c>
      <c r="D1" s="14" t="s">
        <v>270</v>
      </c>
      <c r="E1" s="14" t="s">
        <v>271</v>
      </c>
      <c r="F1" s="14" t="s">
        <v>272</v>
      </c>
      <c r="G1" s="14" t="s">
        <v>273</v>
      </c>
      <c r="H1" s="14" t="s">
        <v>274</v>
      </c>
      <c r="I1" s="14" t="s">
        <v>275</v>
      </c>
      <c r="J1" s="14" t="s">
        <v>268</v>
      </c>
      <c r="K1" s="14" t="s">
        <v>276</v>
      </c>
      <c r="L1" s="14" t="s">
        <v>277</v>
      </c>
      <c r="M1" s="14" t="s">
        <v>278</v>
      </c>
      <c r="N1" s="14" t="s">
        <v>279</v>
      </c>
      <c r="O1" s="14" t="s">
        <v>280</v>
      </c>
      <c r="P1" s="14" t="s">
        <v>281</v>
      </c>
      <c r="Q1" s="14" t="s">
        <v>282</v>
      </c>
      <c r="R1" s="14" t="s">
        <v>283</v>
      </c>
      <c r="S1" s="14" t="s">
        <v>284</v>
      </c>
      <c r="T1" s="14" t="s">
        <v>285</v>
      </c>
      <c r="U1" s="14" t="s">
        <v>286</v>
      </c>
      <c r="V1" s="14" t="s">
        <v>287</v>
      </c>
      <c r="W1" s="14" t="s">
        <v>288</v>
      </c>
      <c r="X1" s="14" t="s">
        <v>289</v>
      </c>
      <c r="Y1" s="14" t="s">
        <v>290</v>
      </c>
      <c r="Z1" s="14" t="s">
        <v>291</v>
      </c>
      <c r="AA1" s="14" t="s">
        <v>292</v>
      </c>
      <c r="AB1" s="14" t="s">
        <v>293</v>
      </c>
      <c r="AC1" s="14" t="s">
        <v>294</v>
      </c>
      <c r="AD1" s="14" t="s">
        <v>266</v>
      </c>
      <c r="AE1" s="15" t="s">
        <v>267</v>
      </c>
      <c r="AF1" s="13" t="s">
        <v>52</v>
      </c>
      <c r="AG1" s="14"/>
      <c r="AH1" s="14"/>
      <c r="AI1" s="14"/>
    </row>
    <row r="2" spans="1:35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4" t="s">
        <v>0</v>
      </c>
    </row>
    <row r="3" spans="1:35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5"/>
    </row>
    <row r="4" spans="1:35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5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5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9">
        <f>SUM(B2:AE6)</f>
        <v>0</v>
      </c>
    </row>
    <row r="7" spans="1:35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4" t="s">
        <v>1</v>
      </c>
    </row>
    <row r="8" spans="1:35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5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5"/>
    </row>
    <row r="10" spans="1:35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>
        <f>SUM(B7:AE10)</f>
        <v>0</v>
      </c>
    </row>
    <row r="11" spans="1:35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4" t="s">
        <v>3</v>
      </c>
    </row>
    <row r="12" spans="1:35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5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5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>
        <f>SUM(B11:AE14)</f>
        <v>0</v>
      </c>
    </row>
    <row r="15" spans="1:35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4" t="s">
        <v>2</v>
      </c>
    </row>
    <row r="16" spans="1:35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2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2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2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>
        <f>SUM(B15:AE19)</f>
        <v>0</v>
      </c>
    </row>
    <row r="20" spans="1:32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24" t="s">
        <v>4</v>
      </c>
    </row>
    <row r="21" spans="1:32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2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>
        <f>SUM(B20:AE24)</f>
        <v>0</v>
      </c>
    </row>
    <row r="25" spans="1:32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4" t="s">
        <v>20</v>
      </c>
    </row>
    <row r="26" spans="1:32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2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>
        <f>SUM(B25:AE29)</f>
        <v>0</v>
      </c>
    </row>
    <row r="30" spans="1:32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4" t="s">
        <v>5</v>
      </c>
    </row>
    <row r="31" spans="1:32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2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2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>
        <f>SUM(B30:AE34)</f>
        <v>0</v>
      </c>
    </row>
    <row r="35" spans="1:32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6" t="s">
        <v>12</v>
      </c>
    </row>
    <row r="36" spans="1:32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0"/>
    </row>
    <row r="37" spans="1:32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>
        <f>SUM(B35:AE37)</f>
        <v>0</v>
      </c>
    </row>
    <row r="38" spans="1:32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6" t="s">
        <v>12</v>
      </c>
    </row>
    <row r="39" spans="1:32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2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>
        <f>SUM(B38:AE40)</f>
        <v>0</v>
      </c>
    </row>
    <row r="41" spans="1:32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4" t="s">
        <v>388</v>
      </c>
    </row>
    <row r="42" spans="1:32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2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2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>
        <f>SUM(B41:AE44)</f>
        <v>0</v>
      </c>
    </row>
    <row r="45" spans="1:32" s="15" customFormat="1" ht="15.75" x14ac:dyDescent="0.25">
      <c r="A45" s="24" t="s">
        <v>19</v>
      </c>
      <c r="B45" s="25">
        <f>SUM(B2:B44)</f>
        <v>0</v>
      </c>
      <c r="C45" s="25">
        <f t="shared" ref="C45:AE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7">
        <f>SUM(B45:AE45)</f>
        <v>0</v>
      </c>
    </row>
    <row r="46" spans="1:32" x14ac:dyDescent="0.2">
      <c r="B46" s="5"/>
    </row>
    <row r="47" spans="1:32" s="4" customFormat="1" ht="15.75" x14ac:dyDescent="0.25">
      <c r="B47" s="9"/>
      <c r="AF47" s="16"/>
    </row>
    <row r="48" spans="1:32" s="4" customFormat="1" x14ac:dyDescent="0.2">
      <c r="B48" s="7"/>
      <c r="AF48" s="16"/>
    </row>
    <row r="49" spans="2:32" s="4" customFormat="1" x14ac:dyDescent="0.2">
      <c r="B49" s="7"/>
      <c r="AF49" s="16"/>
    </row>
    <row r="50" spans="2:32" s="4" customFormat="1" x14ac:dyDescent="0.2">
      <c r="B50" s="7"/>
      <c r="C50" s="10"/>
      <c r="AF50" s="16"/>
    </row>
    <row r="51" spans="2:32" s="4" customFormat="1" x14ac:dyDescent="0.2">
      <c r="B51" s="7"/>
      <c r="AF51" s="16"/>
    </row>
    <row r="52" spans="2:32" s="4" customFormat="1" x14ac:dyDescent="0.2">
      <c r="B52" s="7"/>
      <c r="L52" s="10"/>
      <c r="AF52" s="16"/>
    </row>
    <row r="53" spans="2:32" s="4" customFormat="1" x14ac:dyDescent="0.2">
      <c r="B53" s="7"/>
      <c r="AF53" s="16"/>
    </row>
    <row r="54" spans="2:32" s="4" customFormat="1" x14ac:dyDescent="0.2">
      <c r="B54" s="7"/>
      <c r="AF54" s="16"/>
    </row>
    <row r="55" spans="2:32" s="4" customFormat="1" x14ac:dyDescent="0.2">
      <c r="B55" s="7"/>
      <c r="AF55" s="16"/>
    </row>
    <row r="56" spans="2:32" s="4" customFormat="1" x14ac:dyDescent="0.2">
      <c r="B56" s="7"/>
      <c r="C56" s="10"/>
      <c r="AF56" s="16"/>
    </row>
    <row r="57" spans="2:32" s="4" customFormat="1" ht="15.75" x14ac:dyDescent="0.25">
      <c r="B57" s="7"/>
      <c r="C57" s="10"/>
      <c r="P57" s="3"/>
      <c r="AF57" s="16"/>
    </row>
    <row r="58" spans="2:32" s="4" customFormat="1" ht="15.75" x14ac:dyDescent="0.25">
      <c r="B58" s="7"/>
      <c r="H58" s="10"/>
      <c r="P58" s="3"/>
      <c r="AF58" s="16"/>
    </row>
    <row r="59" spans="2:32" s="4" customFormat="1" ht="15.75" x14ac:dyDescent="0.25">
      <c r="B59" s="7"/>
      <c r="P59" s="3"/>
      <c r="AF59" s="16"/>
    </row>
    <row r="60" spans="2:32" s="4" customFormat="1" ht="15.75" x14ac:dyDescent="0.25">
      <c r="B60" s="7"/>
      <c r="P60" s="3"/>
      <c r="AF60" s="16"/>
    </row>
    <row r="61" spans="2:32" s="4" customFormat="1" ht="15.75" x14ac:dyDescent="0.25">
      <c r="B61" s="7"/>
      <c r="P61" s="3"/>
      <c r="AF61" s="16"/>
    </row>
    <row r="62" spans="2:32" s="4" customFormat="1" ht="15.75" x14ac:dyDescent="0.25">
      <c r="B62" s="7"/>
      <c r="P62" s="3"/>
      <c r="AF62" s="16"/>
    </row>
    <row r="63" spans="2:32" s="4" customFormat="1" ht="15.75" x14ac:dyDescent="0.25">
      <c r="B63" s="7"/>
      <c r="C63" s="10"/>
      <c r="L63" s="10"/>
      <c r="P63" s="3"/>
      <c r="AF63" s="16"/>
    </row>
    <row r="64" spans="2:32" s="4" customFormat="1" ht="15.75" x14ac:dyDescent="0.25">
      <c r="B64" s="7"/>
      <c r="P64" s="3"/>
      <c r="AF64" s="16"/>
    </row>
    <row r="65" spans="2:32" s="4" customFormat="1" ht="15.75" x14ac:dyDescent="0.25">
      <c r="B65" s="7"/>
      <c r="P65" s="3"/>
      <c r="AF65" s="16"/>
    </row>
    <row r="66" spans="2:32" s="4" customFormat="1" ht="15.75" x14ac:dyDescent="0.25">
      <c r="B66" s="7"/>
      <c r="P66" s="3"/>
      <c r="AF66" s="16"/>
    </row>
    <row r="67" spans="2:32" s="4" customFormat="1" ht="15.75" x14ac:dyDescent="0.25">
      <c r="B67" s="7"/>
      <c r="P67" s="3"/>
      <c r="AF67" s="16"/>
    </row>
    <row r="68" spans="2:32" s="4" customFormat="1" x14ac:dyDescent="0.2">
      <c r="B68" s="7"/>
      <c r="AF68" s="16"/>
    </row>
    <row r="69" spans="2:32" s="4" customFormat="1" x14ac:dyDescent="0.2">
      <c r="B69" s="7"/>
      <c r="AF69" s="16"/>
    </row>
    <row r="70" spans="2:32" s="4" customFormat="1" x14ac:dyDescent="0.2">
      <c r="B70" s="7"/>
      <c r="AF70" s="16"/>
    </row>
    <row r="71" spans="2:32" s="4" customFormat="1" x14ac:dyDescent="0.2">
      <c r="B71" s="7"/>
      <c r="AF71" s="16"/>
    </row>
    <row r="72" spans="2:32" s="4" customFormat="1" x14ac:dyDescent="0.2">
      <c r="B72" s="7"/>
      <c r="AF72" s="16"/>
    </row>
    <row r="73" spans="2:32" s="4" customFormat="1" x14ac:dyDescent="0.2">
      <c r="B73" s="7"/>
      <c r="AF73" s="16"/>
    </row>
    <row r="74" spans="2:32" s="4" customFormat="1" x14ac:dyDescent="0.2">
      <c r="B74" s="7"/>
      <c r="AF74" s="16"/>
    </row>
    <row r="75" spans="2:32" s="4" customFormat="1" x14ac:dyDescent="0.2">
      <c r="B75" s="7"/>
      <c r="AF75" s="16"/>
    </row>
    <row r="76" spans="2:32" s="4" customFormat="1" x14ac:dyDescent="0.2">
      <c r="B76" s="7"/>
      <c r="AF76" s="16"/>
    </row>
    <row r="77" spans="2:32" s="4" customFormat="1" x14ac:dyDescent="0.2">
      <c r="B77" s="11"/>
      <c r="AF77" s="16"/>
    </row>
    <row r="78" spans="2:32" s="4" customFormat="1" x14ac:dyDescent="0.2">
      <c r="B78" s="11"/>
      <c r="AF78" s="16"/>
    </row>
    <row r="79" spans="2:32" s="3" customFormat="1" ht="15.75" x14ac:dyDescent="0.25">
      <c r="B79" s="12"/>
      <c r="AF79" s="16"/>
    </row>
    <row r="80" spans="2:32" s="4" customFormat="1" x14ac:dyDescent="0.2">
      <c r="B80" s="7"/>
      <c r="AF80" s="16"/>
    </row>
    <row r="81" spans="2:32" s="4" customFormat="1" ht="15.75" x14ac:dyDescent="0.25">
      <c r="B81" s="9"/>
      <c r="AF81" s="16"/>
    </row>
    <row r="82" spans="2:32" s="4" customFormat="1" x14ac:dyDescent="0.2">
      <c r="B82" s="7"/>
      <c r="AF82" s="16"/>
    </row>
    <row r="83" spans="2:32" s="4" customFormat="1" x14ac:dyDescent="0.2">
      <c r="B83" s="7"/>
      <c r="AF83" s="16"/>
    </row>
    <row r="84" spans="2:32" s="4" customFormat="1" x14ac:dyDescent="0.2">
      <c r="B84" s="7"/>
      <c r="AF84" s="16"/>
    </row>
    <row r="85" spans="2:32" s="4" customFormat="1" x14ac:dyDescent="0.2">
      <c r="B85" s="7"/>
      <c r="AF85" s="16"/>
    </row>
    <row r="86" spans="2:32" s="4" customFormat="1" x14ac:dyDescent="0.2">
      <c r="B86" s="7"/>
      <c r="AF86" s="16"/>
    </row>
    <row r="87" spans="2:32" s="4" customFormat="1" x14ac:dyDescent="0.2">
      <c r="B87" s="7"/>
      <c r="AF87" s="16"/>
    </row>
    <row r="88" spans="2:32" s="4" customFormat="1" x14ac:dyDescent="0.2">
      <c r="B88" s="7"/>
      <c r="AF88" s="16"/>
    </row>
    <row r="89" spans="2:32" s="4" customFormat="1" x14ac:dyDescent="0.2">
      <c r="B89" s="7"/>
      <c r="AF89" s="16"/>
    </row>
    <row r="90" spans="2:32" s="4" customFormat="1" x14ac:dyDescent="0.2">
      <c r="B90" s="7"/>
      <c r="AF90" s="16"/>
    </row>
    <row r="91" spans="2:32" s="4" customFormat="1" x14ac:dyDescent="0.2">
      <c r="B91" s="7"/>
      <c r="AF91" s="16"/>
    </row>
    <row r="92" spans="2:32" s="4" customFormat="1" x14ac:dyDescent="0.2">
      <c r="B92" s="7"/>
      <c r="AF92" s="16"/>
    </row>
    <row r="93" spans="2:32" s="4" customFormat="1" x14ac:dyDescent="0.2">
      <c r="B93" s="7"/>
      <c r="AF93" s="16"/>
    </row>
    <row r="94" spans="2:32" s="4" customFormat="1" x14ac:dyDescent="0.2">
      <c r="B94" s="7"/>
      <c r="AF94" s="16"/>
    </row>
    <row r="95" spans="2:32" s="4" customFormat="1" x14ac:dyDescent="0.2">
      <c r="B95" s="7"/>
      <c r="AF95" s="16"/>
    </row>
    <row r="96" spans="2:32" s="4" customFormat="1" x14ac:dyDescent="0.2">
      <c r="B96" s="7"/>
      <c r="AF96" s="16"/>
    </row>
    <row r="97" spans="2:32" s="4" customFormat="1" x14ac:dyDescent="0.2">
      <c r="B97" s="7"/>
      <c r="AF97" s="16"/>
    </row>
    <row r="98" spans="2:32" s="4" customFormat="1" x14ac:dyDescent="0.2">
      <c r="B98" s="7"/>
      <c r="AF98" s="16"/>
    </row>
    <row r="99" spans="2:32" s="4" customFormat="1" x14ac:dyDescent="0.2">
      <c r="B99" s="7"/>
      <c r="AF99" s="16"/>
    </row>
    <row r="100" spans="2:32" s="4" customFormat="1" x14ac:dyDescent="0.2">
      <c r="B100" s="7"/>
      <c r="AF100" s="16"/>
    </row>
    <row r="101" spans="2:32" s="4" customFormat="1" x14ac:dyDescent="0.2">
      <c r="B101" s="7"/>
      <c r="AF101" s="16"/>
    </row>
    <row r="102" spans="2:32" s="4" customFormat="1" x14ac:dyDescent="0.2">
      <c r="B102" s="7"/>
      <c r="AF102" s="16"/>
    </row>
    <row r="103" spans="2:32" s="4" customFormat="1" x14ac:dyDescent="0.2">
      <c r="B103" s="7"/>
      <c r="AF103" s="16"/>
    </row>
    <row r="104" spans="2:32" s="4" customFormat="1" x14ac:dyDescent="0.2">
      <c r="B104" s="7"/>
      <c r="AF104" s="16"/>
    </row>
    <row r="105" spans="2:32" s="4" customFormat="1" x14ac:dyDescent="0.2">
      <c r="B105" s="7"/>
      <c r="AF105" s="16"/>
    </row>
    <row r="106" spans="2:32" s="4" customFormat="1" x14ac:dyDescent="0.2">
      <c r="B106" s="7"/>
      <c r="AF106" s="16"/>
    </row>
    <row r="107" spans="2:32" s="4" customFormat="1" x14ac:dyDescent="0.2">
      <c r="B107" s="7"/>
      <c r="AF107" s="16"/>
    </row>
    <row r="108" spans="2:32" s="4" customFormat="1" x14ac:dyDescent="0.2">
      <c r="B108" s="7"/>
      <c r="AF108" s="16"/>
    </row>
    <row r="109" spans="2:32" s="4" customFormat="1" x14ac:dyDescent="0.2">
      <c r="B109" s="7"/>
      <c r="AF109" s="16"/>
    </row>
    <row r="110" spans="2:32" s="4" customFormat="1" x14ac:dyDescent="0.2">
      <c r="B110" s="7"/>
      <c r="AF110" s="16"/>
    </row>
    <row r="111" spans="2:32" s="4" customFormat="1" x14ac:dyDescent="0.2">
      <c r="B111" s="7"/>
      <c r="AF111" s="16"/>
    </row>
    <row r="112" spans="2:32" s="4" customFormat="1" x14ac:dyDescent="0.2">
      <c r="B112" s="7"/>
      <c r="AF112" s="16"/>
    </row>
    <row r="113" spans="2:32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F113" s="16"/>
    </row>
    <row r="114" spans="2:32" x14ac:dyDescent="0.2">
      <c r="B114" s="5"/>
    </row>
    <row r="115" spans="2:32" x14ac:dyDescent="0.2">
      <c r="B115" s="5"/>
    </row>
    <row r="116" spans="2:32" x14ac:dyDescent="0.2">
      <c r="B116" s="5"/>
    </row>
    <row r="117" spans="2:32" x14ac:dyDescent="0.2">
      <c r="B117" s="5"/>
    </row>
    <row r="118" spans="2:32" x14ac:dyDescent="0.2">
      <c r="B118" s="5"/>
    </row>
    <row r="119" spans="2:32" x14ac:dyDescent="0.2">
      <c r="B119" s="5"/>
    </row>
    <row r="120" spans="2:32" x14ac:dyDescent="0.2">
      <c r="B120" s="5"/>
    </row>
    <row r="121" spans="2:32" x14ac:dyDescent="0.2">
      <c r="B121" s="5"/>
    </row>
    <row r="122" spans="2:32" x14ac:dyDescent="0.2">
      <c r="B122" s="5"/>
    </row>
    <row r="123" spans="2:32" x14ac:dyDescent="0.2">
      <c r="B123" s="5"/>
    </row>
    <row r="124" spans="2:32" x14ac:dyDescent="0.2">
      <c r="B124" s="5"/>
    </row>
    <row r="125" spans="2:32" x14ac:dyDescent="0.2">
      <c r="B125" s="5"/>
    </row>
    <row r="126" spans="2:32" x14ac:dyDescent="0.2">
      <c r="B126" s="5"/>
    </row>
    <row r="127" spans="2:32" x14ac:dyDescent="0.2">
      <c r="B127" s="5"/>
    </row>
    <row r="128" spans="2:3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9489-116A-4F06-B543-3B866A78F47F}">
  <dimension ref="A1:AJ190"/>
  <sheetViews>
    <sheetView workbookViewId="0">
      <pane xSplit="1" ySplit="1" topLeftCell="U31" activePane="bottomRight" state="frozen"/>
      <selection pane="topRight" activeCell="B1" sqref="B1"/>
      <selection pane="bottomLeft" activeCell="A2" sqref="A2"/>
      <selection pane="bottomRight" activeCell="AG41" sqref="AG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6</v>
      </c>
      <c r="B1" s="14" t="s">
        <v>296</v>
      </c>
      <c r="C1" s="14" t="s">
        <v>297</v>
      </c>
      <c r="D1" s="14" t="s">
        <v>298</v>
      </c>
      <c r="E1" s="14" t="s">
        <v>299</v>
      </c>
      <c r="F1" s="14" t="s">
        <v>300</v>
      </c>
      <c r="G1" s="14" t="s">
        <v>301</v>
      </c>
      <c r="H1" s="14" t="s">
        <v>302</v>
      </c>
      <c r="I1" s="14" t="s">
        <v>303</v>
      </c>
      <c r="J1" s="14" t="s">
        <v>304</v>
      </c>
      <c r="K1" s="14" t="s">
        <v>305</v>
      </c>
      <c r="L1" s="14" t="s">
        <v>306</v>
      </c>
      <c r="M1" s="14" t="s">
        <v>307</v>
      </c>
      <c r="N1" s="14" t="s">
        <v>308</v>
      </c>
      <c r="O1" s="14" t="s">
        <v>309</v>
      </c>
      <c r="P1" s="14" t="s">
        <v>310</v>
      </c>
      <c r="Q1" s="14" t="s">
        <v>311</v>
      </c>
      <c r="R1" s="14" t="s">
        <v>312</v>
      </c>
      <c r="S1" s="14" t="s">
        <v>313</v>
      </c>
      <c r="T1" s="14" t="s">
        <v>314</v>
      </c>
      <c r="U1" s="14" t="s">
        <v>315</v>
      </c>
      <c r="V1" s="14" t="s">
        <v>316</v>
      </c>
      <c r="W1" s="14" t="s">
        <v>317</v>
      </c>
      <c r="X1" s="14" t="s">
        <v>318</v>
      </c>
      <c r="Y1" s="14" t="s">
        <v>319</v>
      </c>
      <c r="Z1" s="14" t="s">
        <v>320</v>
      </c>
      <c r="AA1" s="14" t="s">
        <v>321</v>
      </c>
      <c r="AB1" s="14" t="s">
        <v>322</v>
      </c>
      <c r="AC1" s="14" t="s">
        <v>323</v>
      </c>
      <c r="AD1" s="14" t="s">
        <v>324</v>
      </c>
      <c r="AE1" s="14" t="s">
        <v>325</v>
      </c>
      <c r="AF1" s="15" t="s">
        <v>326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>SUM(AB2:AB44)</f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D878-5918-4036-BF76-36490C9331A6}">
  <dimension ref="A1:AI190"/>
  <sheetViews>
    <sheetView workbookViewId="0">
      <pane xSplit="1" ySplit="1" topLeftCell="T23" activePane="bottomRight" state="frozen"/>
      <selection pane="topRight" activeCell="B1" sqref="B1"/>
      <selection pane="bottomLeft" activeCell="A2" sqref="A2"/>
      <selection pane="bottomRight" activeCell="AF41" sqref="AF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1" width="7.75" style="2" customWidth="1"/>
    <col min="32" max="32" width="18.625" style="15" bestFit="1" customWidth="1"/>
    <col min="33" max="16384" width="10.75" style="2"/>
  </cols>
  <sheetData>
    <row r="1" spans="1:35" s="15" customFormat="1" ht="15.75" x14ac:dyDescent="0.25">
      <c r="A1" s="28" t="s">
        <v>7</v>
      </c>
      <c r="B1" s="14" t="s">
        <v>356</v>
      </c>
      <c r="C1" s="14" t="s">
        <v>330</v>
      </c>
      <c r="D1" s="14" t="s">
        <v>331</v>
      </c>
      <c r="E1" s="14" t="s">
        <v>332</v>
      </c>
      <c r="F1" s="14" t="s">
        <v>333</v>
      </c>
      <c r="G1" s="14" t="s">
        <v>334</v>
      </c>
      <c r="H1" s="14" t="s">
        <v>335</v>
      </c>
      <c r="I1" s="14" t="s">
        <v>336</v>
      </c>
      <c r="J1" s="14" t="s">
        <v>337</v>
      </c>
      <c r="K1" s="14" t="s">
        <v>338</v>
      </c>
      <c r="L1" s="14" t="s">
        <v>329</v>
      </c>
      <c r="M1" s="14" t="s">
        <v>339</v>
      </c>
      <c r="N1" s="14" t="s">
        <v>340</v>
      </c>
      <c r="O1" s="14" t="s">
        <v>341</v>
      </c>
      <c r="P1" s="14" t="s">
        <v>342</v>
      </c>
      <c r="Q1" s="14" t="s">
        <v>343</v>
      </c>
      <c r="R1" s="14" t="s">
        <v>344</v>
      </c>
      <c r="S1" s="14" t="s">
        <v>345</v>
      </c>
      <c r="T1" s="14" t="s">
        <v>346</v>
      </c>
      <c r="U1" s="14" t="s">
        <v>347</v>
      </c>
      <c r="V1" s="14" t="s">
        <v>348</v>
      </c>
      <c r="W1" s="14" t="s">
        <v>349</v>
      </c>
      <c r="X1" s="14" t="s">
        <v>350</v>
      </c>
      <c r="Y1" s="14" t="s">
        <v>351</v>
      </c>
      <c r="Z1" s="14" t="s">
        <v>352</v>
      </c>
      <c r="AA1" s="14" t="s">
        <v>353</v>
      </c>
      <c r="AB1" s="14" t="s">
        <v>354</v>
      </c>
      <c r="AC1" s="14" t="s">
        <v>355</v>
      </c>
      <c r="AD1" s="14" t="s">
        <v>327</v>
      </c>
      <c r="AE1" s="15" t="s">
        <v>328</v>
      </c>
      <c r="AF1" s="13" t="s">
        <v>52</v>
      </c>
      <c r="AG1" s="14"/>
      <c r="AH1" s="14"/>
      <c r="AI1" s="14"/>
    </row>
    <row r="2" spans="1:35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4" t="s">
        <v>0</v>
      </c>
    </row>
    <row r="3" spans="1:35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5"/>
    </row>
    <row r="4" spans="1:35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5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5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9">
        <f>SUM(B2:AE6)</f>
        <v>0</v>
      </c>
    </row>
    <row r="7" spans="1:35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4" t="s">
        <v>1</v>
      </c>
    </row>
    <row r="8" spans="1:35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5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5"/>
    </row>
    <row r="10" spans="1:35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>
        <f>SUM(B7:AE10)</f>
        <v>0</v>
      </c>
    </row>
    <row r="11" spans="1:35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4" t="s">
        <v>3</v>
      </c>
    </row>
    <row r="12" spans="1:35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5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5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>
        <f>SUM(B11:AE14)</f>
        <v>0</v>
      </c>
    </row>
    <row r="15" spans="1:35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4" t="s">
        <v>2</v>
      </c>
    </row>
    <row r="16" spans="1:35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2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2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2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>
        <f>SUM(B15:AE19)</f>
        <v>0</v>
      </c>
    </row>
    <row r="20" spans="1:32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24" t="s">
        <v>4</v>
      </c>
    </row>
    <row r="21" spans="1:32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2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>
        <f>SUM(B20:AE24)</f>
        <v>0</v>
      </c>
    </row>
    <row r="25" spans="1:32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4" t="s">
        <v>20</v>
      </c>
    </row>
    <row r="26" spans="1:32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2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>
        <f>SUM(B25:AE29)</f>
        <v>0</v>
      </c>
    </row>
    <row r="30" spans="1:32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4" t="s">
        <v>5</v>
      </c>
    </row>
    <row r="31" spans="1:32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2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2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>
        <f>SUM(B30:AE34)</f>
        <v>0</v>
      </c>
    </row>
    <row r="35" spans="1:32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6" t="s">
        <v>12</v>
      </c>
    </row>
    <row r="36" spans="1:32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0"/>
    </row>
    <row r="37" spans="1:32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>
        <f>SUM(B35:AE37)</f>
        <v>0</v>
      </c>
    </row>
    <row r="38" spans="1:32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6" t="s">
        <v>12</v>
      </c>
    </row>
    <row r="39" spans="1:32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2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>
        <f>SUM(B38:AE40)</f>
        <v>0</v>
      </c>
    </row>
    <row r="41" spans="1:32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4" t="s">
        <v>388</v>
      </c>
    </row>
    <row r="42" spans="1:32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2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2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>
        <f>SUM(B41:AE44)</f>
        <v>0</v>
      </c>
    </row>
    <row r="45" spans="1:32" s="15" customFormat="1" ht="15.75" x14ac:dyDescent="0.25">
      <c r="A45" s="24" t="s">
        <v>19</v>
      </c>
      <c r="B45" s="25">
        <f>SUM(B2:B44)</f>
        <v>0</v>
      </c>
      <c r="C45" s="25">
        <f t="shared" ref="C45:AE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7">
        <f>SUM(B45:AE45)</f>
        <v>0</v>
      </c>
    </row>
    <row r="46" spans="1:32" x14ac:dyDescent="0.2">
      <c r="B46" s="5"/>
    </row>
    <row r="47" spans="1:32" s="4" customFormat="1" ht="15.75" x14ac:dyDescent="0.25">
      <c r="B47" s="9"/>
      <c r="AF47" s="16"/>
    </row>
    <row r="48" spans="1:32" s="4" customFormat="1" x14ac:dyDescent="0.2">
      <c r="B48" s="7"/>
      <c r="AF48" s="16"/>
    </row>
    <row r="49" spans="2:32" s="4" customFormat="1" x14ac:dyDescent="0.2">
      <c r="B49" s="7"/>
      <c r="AF49" s="16"/>
    </row>
    <row r="50" spans="2:32" s="4" customFormat="1" x14ac:dyDescent="0.2">
      <c r="B50" s="7"/>
      <c r="C50" s="10"/>
      <c r="AF50" s="16"/>
    </row>
    <row r="51" spans="2:32" s="4" customFormat="1" x14ac:dyDescent="0.2">
      <c r="B51" s="7"/>
      <c r="AF51" s="16"/>
    </row>
    <row r="52" spans="2:32" s="4" customFormat="1" x14ac:dyDescent="0.2">
      <c r="B52" s="7"/>
      <c r="L52" s="10"/>
      <c r="AF52" s="16"/>
    </row>
    <row r="53" spans="2:32" s="4" customFormat="1" x14ac:dyDescent="0.2">
      <c r="B53" s="7"/>
      <c r="AF53" s="16"/>
    </row>
    <row r="54" spans="2:32" s="4" customFormat="1" x14ac:dyDescent="0.2">
      <c r="B54" s="7"/>
      <c r="AF54" s="16"/>
    </row>
    <row r="55" spans="2:32" s="4" customFormat="1" x14ac:dyDescent="0.2">
      <c r="B55" s="7"/>
      <c r="AF55" s="16"/>
    </row>
    <row r="56" spans="2:32" s="4" customFormat="1" x14ac:dyDescent="0.2">
      <c r="B56" s="7"/>
      <c r="C56" s="10"/>
      <c r="AF56" s="16"/>
    </row>
    <row r="57" spans="2:32" s="4" customFormat="1" ht="15.75" x14ac:dyDescent="0.25">
      <c r="B57" s="7"/>
      <c r="C57" s="10"/>
      <c r="P57" s="3"/>
      <c r="AF57" s="16"/>
    </row>
    <row r="58" spans="2:32" s="4" customFormat="1" ht="15.75" x14ac:dyDescent="0.25">
      <c r="B58" s="7"/>
      <c r="H58" s="10"/>
      <c r="P58" s="3"/>
      <c r="AF58" s="16"/>
    </row>
    <row r="59" spans="2:32" s="4" customFormat="1" ht="15.75" x14ac:dyDescent="0.25">
      <c r="B59" s="7"/>
      <c r="P59" s="3"/>
      <c r="AF59" s="16"/>
    </row>
    <row r="60" spans="2:32" s="4" customFormat="1" ht="15.75" x14ac:dyDescent="0.25">
      <c r="B60" s="7"/>
      <c r="P60" s="3"/>
      <c r="AF60" s="16"/>
    </row>
    <row r="61" spans="2:32" s="4" customFormat="1" ht="15.75" x14ac:dyDescent="0.25">
      <c r="B61" s="7"/>
      <c r="P61" s="3"/>
      <c r="AF61" s="16"/>
    </row>
    <row r="62" spans="2:32" s="4" customFormat="1" ht="15.75" x14ac:dyDescent="0.25">
      <c r="B62" s="7"/>
      <c r="P62" s="3"/>
      <c r="AF62" s="16"/>
    </row>
    <row r="63" spans="2:32" s="4" customFormat="1" ht="15.75" x14ac:dyDescent="0.25">
      <c r="B63" s="7"/>
      <c r="C63" s="10"/>
      <c r="L63" s="10"/>
      <c r="P63" s="3"/>
      <c r="AF63" s="16"/>
    </row>
    <row r="64" spans="2:32" s="4" customFormat="1" ht="15.75" x14ac:dyDescent="0.25">
      <c r="B64" s="7"/>
      <c r="P64" s="3"/>
      <c r="AF64" s="16"/>
    </row>
    <row r="65" spans="2:32" s="4" customFormat="1" ht="15.75" x14ac:dyDescent="0.25">
      <c r="B65" s="7"/>
      <c r="P65" s="3"/>
      <c r="AF65" s="16"/>
    </row>
    <row r="66" spans="2:32" s="4" customFormat="1" ht="15.75" x14ac:dyDescent="0.25">
      <c r="B66" s="7"/>
      <c r="P66" s="3"/>
      <c r="AF66" s="16"/>
    </row>
    <row r="67" spans="2:32" s="4" customFormat="1" ht="15.75" x14ac:dyDescent="0.25">
      <c r="B67" s="7"/>
      <c r="P67" s="3"/>
      <c r="AF67" s="16"/>
    </row>
    <row r="68" spans="2:32" s="4" customFormat="1" x14ac:dyDescent="0.2">
      <c r="B68" s="7"/>
      <c r="AF68" s="16"/>
    </row>
    <row r="69" spans="2:32" s="4" customFormat="1" x14ac:dyDescent="0.2">
      <c r="B69" s="7"/>
      <c r="AF69" s="16"/>
    </row>
    <row r="70" spans="2:32" s="4" customFormat="1" x14ac:dyDescent="0.2">
      <c r="B70" s="7"/>
      <c r="AF70" s="16"/>
    </row>
    <row r="71" spans="2:32" s="4" customFormat="1" x14ac:dyDescent="0.2">
      <c r="B71" s="7"/>
      <c r="AF71" s="16"/>
    </row>
    <row r="72" spans="2:32" s="4" customFormat="1" x14ac:dyDescent="0.2">
      <c r="B72" s="7"/>
      <c r="AF72" s="16"/>
    </row>
    <row r="73" spans="2:32" s="4" customFormat="1" x14ac:dyDescent="0.2">
      <c r="B73" s="7"/>
      <c r="AF73" s="16"/>
    </row>
    <row r="74" spans="2:32" s="4" customFormat="1" x14ac:dyDescent="0.2">
      <c r="B74" s="7"/>
      <c r="AF74" s="16"/>
    </row>
    <row r="75" spans="2:32" s="4" customFormat="1" x14ac:dyDescent="0.2">
      <c r="B75" s="7"/>
      <c r="AF75" s="16"/>
    </row>
    <row r="76" spans="2:32" s="4" customFormat="1" x14ac:dyDescent="0.2">
      <c r="B76" s="7"/>
      <c r="AF76" s="16"/>
    </row>
    <row r="77" spans="2:32" s="4" customFormat="1" x14ac:dyDescent="0.2">
      <c r="B77" s="11"/>
      <c r="AF77" s="16"/>
    </row>
    <row r="78" spans="2:32" s="4" customFormat="1" x14ac:dyDescent="0.2">
      <c r="B78" s="11"/>
      <c r="AF78" s="16"/>
    </row>
    <row r="79" spans="2:32" s="3" customFormat="1" ht="15.75" x14ac:dyDescent="0.25">
      <c r="B79" s="12"/>
      <c r="AF79" s="16"/>
    </row>
    <row r="80" spans="2:32" s="4" customFormat="1" x14ac:dyDescent="0.2">
      <c r="B80" s="7"/>
      <c r="AF80" s="16"/>
    </row>
    <row r="81" spans="2:32" s="4" customFormat="1" ht="15.75" x14ac:dyDescent="0.25">
      <c r="B81" s="9"/>
      <c r="AF81" s="16"/>
    </row>
    <row r="82" spans="2:32" s="4" customFormat="1" x14ac:dyDescent="0.2">
      <c r="B82" s="7"/>
      <c r="AF82" s="16"/>
    </row>
    <row r="83" spans="2:32" s="4" customFormat="1" x14ac:dyDescent="0.2">
      <c r="B83" s="7"/>
      <c r="AF83" s="16"/>
    </row>
    <row r="84" spans="2:32" s="4" customFormat="1" x14ac:dyDescent="0.2">
      <c r="B84" s="7"/>
      <c r="AF84" s="16"/>
    </row>
    <row r="85" spans="2:32" s="4" customFormat="1" x14ac:dyDescent="0.2">
      <c r="B85" s="7"/>
      <c r="AF85" s="16"/>
    </row>
    <row r="86" spans="2:32" s="4" customFormat="1" x14ac:dyDescent="0.2">
      <c r="B86" s="7"/>
      <c r="AF86" s="16"/>
    </row>
    <row r="87" spans="2:32" s="4" customFormat="1" x14ac:dyDescent="0.2">
      <c r="B87" s="7"/>
      <c r="AF87" s="16"/>
    </row>
    <row r="88" spans="2:32" s="4" customFormat="1" x14ac:dyDescent="0.2">
      <c r="B88" s="7"/>
      <c r="AF88" s="16"/>
    </row>
    <row r="89" spans="2:32" s="4" customFormat="1" x14ac:dyDescent="0.2">
      <c r="B89" s="7"/>
      <c r="AF89" s="16"/>
    </row>
    <row r="90" spans="2:32" s="4" customFormat="1" x14ac:dyDescent="0.2">
      <c r="B90" s="7"/>
      <c r="AF90" s="16"/>
    </row>
    <row r="91" spans="2:32" s="4" customFormat="1" x14ac:dyDescent="0.2">
      <c r="B91" s="7"/>
      <c r="AF91" s="16"/>
    </row>
    <row r="92" spans="2:32" s="4" customFormat="1" x14ac:dyDescent="0.2">
      <c r="B92" s="7"/>
      <c r="AF92" s="16"/>
    </row>
    <row r="93" spans="2:32" s="4" customFormat="1" x14ac:dyDescent="0.2">
      <c r="B93" s="7"/>
      <c r="AF93" s="16"/>
    </row>
    <row r="94" spans="2:32" s="4" customFormat="1" x14ac:dyDescent="0.2">
      <c r="B94" s="7"/>
      <c r="AF94" s="16"/>
    </row>
    <row r="95" spans="2:32" s="4" customFormat="1" x14ac:dyDescent="0.2">
      <c r="B95" s="7"/>
      <c r="AF95" s="16"/>
    </row>
    <row r="96" spans="2:32" s="4" customFormat="1" x14ac:dyDescent="0.2">
      <c r="B96" s="7"/>
      <c r="AF96" s="16"/>
    </row>
    <row r="97" spans="2:32" s="4" customFormat="1" x14ac:dyDescent="0.2">
      <c r="B97" s="7"/>
      <c r="AF97" s="16"/>
    </row>
    <row r="98" spans="2:32" s="4" customFormat="1" x14ac:dyDescent="0.2">
      <c r="B98" s="7"/>
      <c r="AF98" s="16"/>
    </row>
    <row r="99" spans="2:32" s="4" customFormat="1" x14ac:dyDescent="0.2">
      <c r="B99" s="7"/>
      <c r="AF99" s="16"/>
    </row>
    <row r="100" spans="2:32" s="4" customFormat="1" x14ac:dyDescent="0.2">
      <c r="B100" s="7"/>
      <c r="AF100" s="16"/>
    </row>
    <row r="101" spans="2:32" s="4" customFormat="1" x14ac:dyDescent="0.2">
      <c r="B101" s="7"/>
      <c r="AF101" s="16"/>
    </row>
    <row r="102" spans="2:32" s="4" customFormat="1" x14ac:dyDescent="0.2">
      <c r="B102" s="7"/>
      <c r="AF102" s="16"/>
    </row>
    <row r="103" spans="2:32" s="4" customFormat="1" x14ac:dyDescent="0.2">
      <c r="B103" s="7"/>
      <c r="AF103" s="16"/>
    </row>
    <row r="104" spans="2:32" s="4" customFormat="1" x14ac:dyDescent="0.2">
      <c r="B104" s="7"/>
      <c r="AF104" s="16"/>
    </row>
    <row r="105" spans="2:32" s="4" customFormat="1" x14ac:dyDescent="0.2">
      <c r="B105" s="7"/>
      <c r="AF105" s="16"/>
    </row>
    <row r="106" spans="2:32" s="4" customFormat="1" x14ac:dyDescent="0.2">
      <c r="B106" s="7"/>
      <c r="AF106" s="16"/>
    </row>
    <row r="107" spans="2:32" s="4" customFormat="1" x14ac:dyDescent="0.2">
      <c r="B107" s="7"/>
      <c r="AF107" s="16"/>
    </row>
    <row r="108" spans="2:32" s="4" customFormat="1" x14ac:dyDescent="0.2">
      <c r="B108" s="7"/>
      <c r="AF108" s="16"/>
    </row>
    <row r="109" spans="2:32" s="4" customFormat="1" x14ac:dyDescent="0.2">
      <c r="B109" s="7"/>
      <c r="AF109" s="16"/>
    </row>
    <row r="110" spans="2:32" s="4" customFormat="1" x14ac:dyDescent="0.2">
      <c r="B110" s="7"/>
      <c r="AF110" s="16"/>
    </row>
    <row r="111" spans="2:32" s="4" customFormat="1" x14ac:dyDescent="0.2">
      <c r="B111" s="7"/>
      <c r="AF111" s="16"/>
    </row>
    <row r="112" spans="2:32" s="4" customFormat="1" x14ac:dyDescent="0.2">
      <c r="B112" s="7"/>
      <c r="AF112" s="16"/>
    </row>
    <row r="113" spans="2:32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F113" s="16"/>
    </row>
    <row r="114" spans="2:32" x14ac:dyDescent="0.2">
      <c r="B114" s="5"/>
    </row>
    <row r="115" spans="2:32" x14ac:dyDescent="0.2">
      <c r="B115" s="5"/>
    </row>
    <row r="116" spans="2:32" x14ac:dyDescent="0.2">
      <c r="B116" s="5"/>
    </row>
    <row r="117" spans="2:32" x14ac:dyDescent="0.2">
      <c r="B117" s="5"/>
    </row>
    <row r="118" spans="2:32" x14ac:dyDescent="0.2">
      <c r="B118" s="5"/>
    </row>
    <row r="119" spans="2:32" x14ac:dyDescent="0.2">
      <c r="B119" s="5"/>
    </row>
    <row r="120" spans="2:32" x14ac:dyDescent="0.2">
      <c r="B120" s="5"/>
    </row>
    <row r="121" spans="2:32" x14ac:dyDescent="0.2">
      <c r="B121" s="5"/>
    </row>
    <row r="122" spans="2:32" x14ac:dyDescent="0.2">
      <c r="B122" s="5"/>
    </row>
    <row r="123" spans="2:32" x14ac:dyDescent="0.2">
      <c r="B123" s="5"/>
    </row>
    <row r="124" spans="2:32" x14ac:dyDescent="0.2">
      <c r="B124" s="5"/>
    </row>
    <row r="125" spans="2:32" x14ac:dyDescent="0.2">
      <c r="B125" s="5"/>
    </row>
    <row r="126" spans="2:32" x14ac:dyDescent="0.2">
      <c r="B126" s="5"/>
    </row>
    <row r="127" spans="2:32" x14ac:dyDescent="0.2">
      <c r="B127" s="5"/>
    </row>
    <row r="128" spans="2:3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410C4-BF72-4F55-A39C-D4303610D0DD}">
  <dimension ref="A1:AJ1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C41" sqref="AC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8</v>
      </c>
      <c r="B1" s="14" t="s">
        <v>360</v>
      </c>
      <c r="C1" s="14" t="s">
        <v>361</v>
      </c>
      <c r="D1" s="14" t="s">
        <v>362</v>
      </c>
      <c r="E1" s="14" t="s">
        <v>363</v>
      </c>
      <c r="F1" s="14" t="s">
        <v>364</v>
      </c>
      <c r="G1" s="14" t="s">
        <v>365</v>
      </c>
      <c r="H1" s="14" t="s">
        <v>366</v>
      </c>
      <c r="I1" s="14" t="s">
        <v>367</v>
      </c>
      <c r="J1" s="14" t="s">
        <v>368</v>
      </c>
      <c r="K1" s="14" t="s">
        <v>369</v>
      </c>
      <c r="L1" s="14" t="s">
        <v>370</v>
      </c>
      <c r="M1" s="14" t="s">
        <v>371</v>
      </c>
      <c r="N1" s="14" t="s">
        <v>372</v>
      </c>
      <c r="O1" s="14" t="s">
        <v>373</v>
      </c>
      <c r="P1" s="14" t="s">
        <v>374</v>
      </c>
      <c r="Q1" s="14" t="s">
        <v>375</v>
      </c>
      <c r="R1" s="14" t="s">
        <v>376</v>
      </c>
      <c r="S1" s="14" t="s">
        <v>377</v>
      </c>
      <c r="T1" s="14" t="s">
        <v>378</v>
      </c>
      <c r="U1" s="14" t="s">
        <v>379</v>
      </c>
      <c r="V1" s="14" t="s">
        <v>380</v>
      </c>
      <c r="W1" s="14" t="s">
        <v>381</v>
      </c>
      <c r="X1" s="14" t="s">
        <v>382</v>
      </c>
      <c r="Y1" s="14" t="s">
        <v>383</v>
      </c>
      <c r="Z1" s="14" t="s">
        <v>384</v>
      </c>
      <c r="AA1" s="14" t="s">
        <v>385</v>
      </c>
      <c r="AB1" s="14" t="s">
        <v>386</v>
      </c>
      <c r="AC1" s="14" t="s">
        <v>387</v>
      </c>
      <c r="AD1" s="14" t="s">
        <v>357</v>
      </c>
      <c r="AE1" s="14" t="s">
        <v>358</v>
      </c>
      <c r="AF1" s="15" t="s">
        <v>359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A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>SUM(AB2:AB44)</f>
        <v>0</v>
      </c>
      <c r="AC45" s="25">
        <f>SUM(AC2:AC44)</f>
        <v>0</v>
      </c>
      <c r="AD45" s="25">
        <f>SUM(AD2:AD44)</f>
        <v>0</v>
      </c>
      <c r="AE45" s="25">
        <f>SUM(AE2:AE44)</f>
        <v>0</v>
      </c>
      <c r="AF45" s="25">
        <f>SUM(AF2:AF44)</f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Kapitalwert+Annuität</vt:lpstr>
      <vt:lpstr>Obst-AFS</vt:lpstr>
      <vt:lpstr>Obsterlös</vt:lpstr>
      <vt:lpstr>Futterlauberlös</vt:lpstr>
      <vt:lpstr>Haselnusserlös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Proto Type</dc:creator>
  <cp:lastModifiedBy>Anja</cp:lastModifiedBy>
  <dcterms:created xsi:type="dcterms:W3CDTF">2015-11-25T14:23:36Z</dcterms:created>
  <dcterms:modified xsi:type="dcterms:W3CDTF">2026-09-29T10:03:00Z</dcterms:modified>
</cp:coreProperties>
</file>