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mc:AlternateContent xmlns:mc="http://schemas.openxmlformats.org/markup-compatibility/2006">
    <mc:Choice Requires="x15">
      <x15ac:absPath xmlns:x15ac="http://schemas.microsoft.com/office/spreadsheetml/2010/11/ac" url="D:\Job\2019 - xx_DeFAF\2021 FB Ökonomie\2024-2026 MLLEV_SH PROJEKT_XXXXXXXXXXXX\OUTPUT-Kapitalwert-FINAL\"/>
    </mc:Choice>
  </mc:AlternateContent>
  <xr:revisionPtr revIDLastSave="0" documentId="13_ncr:1_{49BB4E8F-8A54-421A-8CEA-FC35CE1D86A2}" xr6:coauthVersionLast="47" xr6:coauthVersionMax="47" xr10:uidLastSave="{00000000-0000-0000-0000-000000000000}"/>
  <bookViews>
    <workbookView xWindow="28680" yWindow="-120" windowWidth="29040" windowHeight="15720" tabRatio="730" xr2:uid="{00000000-000D-0000-FFFF-FFFF00000000}"/>
  </bookViews>
  <sheets>
    <sheet name="Kapitalwert+Annuität_ohne Knick" sheetId="28" r:id="rId1"/>
    <sheet name="Windschutzstreifen (ohne Knick)" sheetId="29" r:id="rId2"/>
    <sheet name="Kapitalwert+Annuität_mit Knick" sheetId="23" r:id="rId3"/>
    <sheet name="Windschutzstreifen (mit Knick)" sheetId="25" r:id="rId4"/>
    <sheet name="Pappelerlöse" sheetId="26" r:id="rId5"/>
    <sheet name="Futterlauberlöse" sheetId="27" r:id="rId6"/>
    <sheet name="Januar" sheetId="1" state="hidden" r:id="rId7"/>
    <sheet name="Februar" sheetId="9" state="hidden" r:id="rId8"/>
    <sheet name="März" sheetId="10" state="hidden" r:id="rId9"/>
    <sheet name="April" sheetId="11" state="hidden" r:id="rId10"/>
    <sheet name="Mai" sheetId="12" state="hidden" r:id="rId11"/>
    <sheet name="Juni" sheetId="13" state="hidden" r:id="rId12"/>
    <sheet name="Juli" sheetId="14" state="hidden" r:id="rId13"/>
    <sheet name="August" sheetId="15" state="hidden" r:id="rId14"/>
    <sheet name="September" sheetId="16" state="hidden" r:id="rId15"/>
    <sheet name="Oktober" sheetId="17" state="hidden" r:id="rId16"/>
    <sheet name="November" sheetId="18" state="hidden" r:id="rId17"/>
    <sheet name="Dezember" sheetId="19" state="hidden" r:id="rId18"/>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4" i="25" l="1"/>
  <c r="B154" i="25"/>
  <c r="C148" i="25"/>
  <c r="B148" i="25"/>
  <c r="C144" i="25"/>
  <c r="B144" i="25"/>
  <c r="C138" i="25"/>
  <c r="B138" i="25"/>
  <c r="C134" i="25"/>
  <c r="B134" i="25"/>
  <c r="C128" i="25"/>
  <c r="B128" i="25"/>
  <c r="C124" i="25"/>
  <c r="B124" i="25"/>
  <c r="C120" i="25"/>
  <c r="B120" i="25"/>
  <c r="C116" i="25"/>
  <c r="B116" i="25"/>
  <c r="C112" i="25"/>
  <c r="B112" i="25"/>
  <c r="C108" i="25"/>
  <c r="B108" i="25"/>
  <c r="C104" i="25"/>
  <c r="B104" i="25"/>
  <c r="C100" i="25"/>
  <c r="B100" i="25"/>
  <c r="C96" i="25"/>
  <c r="B96" i="25"/>
  <c r="C92" i="25"/>
  <c r="B92" i="25"/>
  <c r="C88" i="25"/>
  <c r="B88" i="25"/>
  <c r="C84" i="25"/>
  <c r="B84" i="25"/>
  <c r="C80" i="25"/>
  <c r="B80" i="25"/>
  <c r="C76" i="25"/>
  <c r="B76" i="25"/>
  <c r="C72" i="25"/>
  <c r="B72" i="25"/>
  <c r="C68" i="25"/>
  <c r="B68" i="25"/>
  <c r="C64" i="25"/>
  <c r="B64" i="25"/>
  <c r="C59" i="25"/>
  <c r="B59" i="25"/>
  <c r="C56" i="25"/>
  <c r="B56" i="25"/>
  <c r="C51" i="25"/>
  <c r="B51" i="25"/>
  <c r="C31" i="25"/>
  <c r="B31" i="25"/>
  <c r="C143" i="29"/>
  <c r="B143" i="29"/>
  <c r="C137" i="29"/>
  <c r="B137" i="29"/>
  <c r="C133" i="29"/>
  <c r="B133" i="29"/>
  <c r="C127" i="29"/>
  <c r="B127" i="29"/>
  <c r="C123" i="29"/>
  <c r="B123" i="29"/>
  <c r="C117" i="29"/>
  <c r="B117" i="29"/>
  <c r="C113" i="29"/>
  <c r="B113" i="29"/>
  <c r="C109" i="29"/>
  <c r="B109" i="29"/>
  <c r="C105" i="29"/>
  <c r="B105" i="29"/>
  <c r="C101" i="29"/>
  <c r="B101" i="29"/>
  <c r="C97" i="29"/>
  <c r="B97" i="29"/>
  <c r="C93" i="29"/>
  <c r="B93" i="29"/>
  <c r="C89" i="29"/>
  <c r="B89" i="29"/>
  <c r="C85" i="29"/>
  <c r="B85" i="29"/>
  <c r="C81" i="29"/>
  <c r="B81" i="29"/>
  <c r="C77" i="29"/>
  <c r="B77" i="29"/>
  <c r="C73" i="29"/>
  <c r="B73" i="29"/>
  <c r="C69" i="29"/>
  <c r="B69" i="29"/>
  <c r="C65" i="29"/>
  <c r="B65" i="29"/>
  <c r="C61" i="29"/>
  <c r="B61" i="29"/>
  <c r="C57" i="29"/>
  <c r="B57" i="29"/>
  <c r="C53" i="29"/>
  <c r="B53" i="29"/>
  <c r="C48" i="29"/>
  <c r="B48" i="29"/>
  <c r="C45" i="29"/>
  <c r="B45" i="29"/>
  <c r="C40" i="29"/>
  <c r="B40" i="29"/>
  <c r="C29" i="29"/>
  <c r="B29" i="29"/>
  <c r="S42" i="25"/>
  <c r="S47" i="25"/>
  <c r="S44" i="25" l="1"/>
  <c r="F10" i="28"/>
  <c r="F19" i="28" s="1"/>
  <c r="C39" i="28"/>
  <c r="C38" i="28"/>
  <c r="C37" i="28"/>
  <c r="C36" i="28"/>
  <c r="C35" i="28"/>
  <c r="C34" i="28"/>
  <c r="C33" i="28"/>
  <c r="C32" i="28"/>
  <c r="C31" i="28"/>
  <c r="C30" i="28"/>
  <c r="C29" i="28"/>
  <c r="C28" i="28"/>
  <c r="C27" i="28"/>
  <c r="C26" i="28"/>
  <c r="C25" i="28"/>
  <c r="C24" i="28"/>
  <c r="C23" i="28"/>
  <c r="V72" i="29"/>
  <c r="F73" i="29" s="1"/>
  <c r="C22" i="28"/>
  <c r="C21" i="28"/>
  <c r="C20" i="28"/>
  <c r="C19" i="28"/>
  <c r="C18" i="28"/>
  <c r="C17" i="28"/>
  <c r="C16" i="28"/>
  <c r="C15" i="28"/>
  <c r="C14" i="28"/>
  <c r="J144" i="29"/>
  <c r="N144" i="29" s="1"/>
  <c r="N142" i="29"/>
  <c r="M142" i="29"/>
  <c r="V141" i="29"/>
  <c r="J141" i="29"/>
  <c r="N141" i="29" s="1"/>
  <c r="V140" i="29"/>
  <c r="J140" i="29"/>
  <c r="N140" i="29" s="1"/>
  <c r="J139" i="29"/>
  <c r="M139" i="29" s="1"/>
  <c r="N138" i="29"/>
  <c r="M138" i="29"/>
  <c r="D137" i="29"/>
  <c r="V136" i="29"/>
  <c r="F137" i="29" s="1"/>
  <c r="J136" i="29"/>
  <c r="N136" i="29" s="1"/>
  <c r="J135" i="29"/>
  <c r="N134" i="29"/>
  <c r="M134" i="29"/>
  <c r="N132" i="29"/>
  <c r="M132" i="29"/>
  <c r="V131" i="29"/>
  <c r="J131" i="29"/>
  <c r="N131" i="29" s="1"/>
  <c r="V130" i="29"/>
  <c r="F133" i="29" s="1"/>
  <c r="J130" i="29"/>
  <c r="M130" i="29" s="1"/>
  <c r="J129" i="29"/>
  <c r="N129" i="29" s="1"/>
  <c r="N128" i="29"/>
  <c r="M128" i="29"/>
  <c r="D127" i="29"/>
  <c r="V126" i="29"/>
  <c r="F127" i="29" s="1"/>
  <c r="J126" i="29"/>
  <c r="N126" i="29" s="1"/>
  <c r="J125" i="29"/>
  <c r="N125" i="29" s="1"/>
  <c r="N124" i="29"/>
  <c r="M124" i="29"/>
  <c r="N122" i="29"/>
  <c r="M122" i="29"/>
  <c r="V121" i="29"/>
  <c r="J121" i="29"/>
  <c r="M121" i="29" s="1"/>
  <c r="S121" i="29" s="1"/>
  <c r="D123" i="29" s="1"/>
  <c r="V120" i="29"/>
  <c r="J120" i="29"/>
  <c r="N120" i="29" s="1"/>
  <c r="J119" i="29"/>
  <c r="N119" i="29" s="1"/>
  <c r="N118" i="29"/>
  <c r="M118" i="29"/>
  <c r="D117" i="29"/>
  <c r="V116" i="29"/>
  <c r="F117" i="29" s="1"/>
  <c r="J116" i="29"/>
  <c r="N116" i="29" s="1"/>
  <c r="J115" i="29"/>
  <c r="N115" i="29" s="1"/>
  <c r="N114" i="29"/>
  <c r="M114" i="29"/>
  <c r="D113" i="29"/>
  <c r="V112" i="29"/>
  <c r="F113" i="29" s="1"/>
  <c r="J112" i="29"/>
  <c r="N112" i="29" s="1"/>
  <c r="J111" i="29"/>
  <c r="N110" i="29"/>
  <c r="M110" i="29"/>
  <c r="D109" i="29"/>
  <c r="V108" i="29"/>
  <c r="F109" i="29" s="1"/>
  <c r="J108" i="29"/>
  <c r="N108" i="29" s="1"/>
  <c r="J107" i="29"/>
  <c r="M107" i="29" s="1"/>
  <c r="N106" i="29"/>
  <c r="M106" i="29"/>
  <c r="D105" i="29"/>
  <c r="V104" i="29"/>
  <c r="F105" i="29" s="1"/>
  <c r="J104" i="29"/>
  <c r="M104" i="29" s="1"/>
  <c r="J103" i="29"/>
  <c r="N103" i="29" s="1"/>
  <c r="N102" i="29"/>
  <c r="M102" i="29"/>
  <c r="D101" i="29"/>
  <c r="V100" i="29"/>
  <c r="F101" i="29" s="1"/>
  <c r="J100" i="29"/>
  <c r="N100" i="29" s="1"/>
  <c r="J99" i="29"/>
  <c r="M99" i="29" s="1"/>
  <c r="N98" i="29"/>
  <c r="M98" i="29"/>
  <c r="D97" i="29"/>
  <c r="V96" i="29"/>
  <c r="F97" i="29" s="1"/>
  <c r="J96" i="29"/>
  <c r="M96" i="29" s="1"/>
  <c r="J95" i="29"/>
  <c r="N95" i="29" s="1"/>
  <c r="N94" i="29"/>
  <c r="M94" i="29"/>
  <c r="D93" i="29"/>
  <c r="V92" i="29"/>
  <c r="F93" i="29" s="1"/>
  <c r="J92" i="29"/>
  <c r="N92" i="29" s="1"/>
  <c r="J91" i="29"/>
  <c r="M91" i="29" s="1"/>
  <c r="N90" i="29"/>
  <c r="M90" i="29"/>
  <c r="D89" i="29"/>
  <c r="V88" i="29"/>
  <c r="F89" i="29" s="1"/>
  <c r="J88" i="29"/>
  <c r="N88" i="29" s="1"/>
  <c r="J87" i="29"/>
  <c r="N86" i="29"/>
  <c r="M86" i="29"/>
  <c r="D85" i="29"/>
  <c r="V84" i="29"/>
  <c r="F85" i="29" s="1"/>
  <c r="J84" i="29"/>
  <c r="N84" i="29" s="1"/>
  <c r="J83" i="29"/>
  <c r="M83" i="29" s="1"/>
  <c r="N82" i="29"/>
  <c r="M82" i="29"/>
  <c r="D81" i="29"/>
  <c r="V80" i="29"/>
  <c r="F81" i="29" s="1"/>
  <c r="J80" i="29"/>
  <c r="M80" i="29" s="1"/>
  <c r="J79" i="29"/>
  <c r="N79" i="29" s="1"/>
  <c r="N78" i="29"/>
  <c r="M78" i="29"/>
  <c r="D77" i="29"/>
  <c r="V76" i="29"/>
  <c r="F77" i="29" s="1"/>
  <c r="J76" i="29"/>
  <c r="N76" i="29" s="1"/>
  <c r="J75" i="29"/>
  <c r="M75" i="29" s="1"/>
  <c r="N74" i="29"/>
  <c r="M74" i="29"/>
  <c r="D73" i="29"/>
  <c r="J72" i="29"/>
  <c r="M72" i="29" s="1"/>
  <c r="J71" i="29"/>
  <c r="N71" i="29" s="1"/>
  <c r="N70" i="29"/>
  <c r="M70" i="29"/>
  <c r="D69" i="29"/>
  <c r="V68" i="29"/>
  <c r="F69" i="29" s="1"/>
  <c r="J68" i="29"/>
  <c r="N68" i="29" s="1"/>
  <c r="J67" i="29"/>
  <c r="N67" i="29" s="1"/>
  <c r="N66" i="29"/>
  <c r="M66" i="29"/>
  <c r="D65" i="29"/>
  <c r="V64" i="29"/>
  <c r="F65" i="29" s="1"/>
  <c r="J64" i="29"/>
  <c r="N64" i="29" s="1"/>
  <c r="J63" i="29"/>
  <c r="N62" i="29"/>
  <c r="M62" i="29"/>
  <c r="D61" i="29"/>
  <c r="V60" i="29"/>
  <c r="F61" i="29" s="1"/>
  <c r="J60" i="29"/>
  <c r="N60" i="29" s="1"/>
  <c r="J59" i="29"/>
  <c r="M59" i="29" s="1"/>
  <c r="N58" i="29"/>
  <c r="M58" i="29"/>
  <c r="D57" i="29"/>
  <c r="V56" i="29"/>
  <c r="F57" i="29" s="1"/>
  <c r="J56" i="29"/>
  <c r="M56" i="29" s="1"/>
  <c r="J55" i="29"/>
  <c r="M55" i="29" s="1"/>
  <c r="N54" i="29"/>
  <c r="M54" i="29"/>
  <c r="D53" i="29"/>
  <c r="V52" i="29"/>
  <c r="F53" i="29" s="1"/>
  <c r="J52" i="29"/>
  <c r="N52" i="29" s="1"/>
  <c r="J51" i="29"/>
  <c r="M51" i="29" s="1"/>
  <c r="N50" i="29"/>
  <c r="M50" i="29"/>
  <c r="N49" i="29"/>
  <c r="M49" i="29"/>
  <c r="F48" i="29"/>
  <c r="D48" i="29"/>
  <c r="J47" i="29"/>
  <c r="M47" i="29" s="1"/>
  <c r="N46" i="29"/>
  <c r="M46" i="29"/>
  <c r="F45" i="29"/>
  <c r="N44" i="29"/>
  <c r="M44" i="29"/>
  <c r="N43" i="29"/>
  <c r="M43" i="29"/>
  <c r="S44" i="29" s="1"/>
  <c r="N42" i="29"/>
  <c r="M42" i="29"/>
  <c r="S41" i="29"/>
  <c r="N41" i="29"/>
  <c r="M41" i="29"/>
  <c r="F40" i="29"/>
  <c r="N39" i="29"/>
  <c r="M39" i="29"/>
  <c r="N38" i="29"/>
  <c r="M38" i="29"/>
  <c r="N37" i="29"/>
  <c r="M37" i="29"/>
  <c r="S38" i="29" s="1"/>
  <c r="N36" i="29"/>
  <c r="M36" i="29"/>
  <c r="N35" i="29"/>
  <c r="M35" i="29"/>
  <c r="N34" i="29"/>
  <c r="M34" i="29"/>
  <c r="S35" i="29" s="1"/>
  <c r="N33" i="29"/>
  <c r="M33" i="29"/>
  <c r="S32" i="29"/>
  <c r="N32" i="29"/>
  <c r="M32" i="29"/>
  <c r="N31" i="29"/>
  <c r="M31" i="29"/>
  <c r="S33" i="29" s="1"/>
  <c r="N30" i="29"/>
  <c r="M30" i="29"/>
  <c r="S30" i="29" s="1"/>
  <c r="F29" i="29"/>
  <c r="N28" i="29"/>
  <c r="M28" i="29"/>
  <c r="S27" i="29"/>
  <c r="N27" i="29"/>
  <c r="M27" i="29"/>
  <c r="S26" i="29"/>
  <c r="N26" i="29"/>
  <c r="M26" i="29"/>
  <c r="S25" i="29"/>
  <c r="N25" i="29"/>
  <c r="M25" i="29"/>
  <c r="S24" i="29"/>
  <c r="N24" i="29"/>
  <c r="M24" i="29"/>
  <c r="N23" i="29"/>
  <c r="M23" i="29"/>
  <c r="S22" i="29"/>
  <c r="N22" i="29"/>
  <c r="M22" i="29"/>
  <c r="N21" i="29"/>
  <c r="M21" i="29"/>
  <c r="N20" i="29"/>
  <c r="M20" i="29"/>
  <c r="S19" i="29"/>
  <c r="N19" i="29"/>
  <c r="M19" i="29"/>
  <c r="S18" i="29"/>
  <c r="N18" i="29"/>
  <c r="M18" i="29"/>
  <c r="S17" i="29"/>
  <c r="N17" i="29"/>
  <c r="M17" i="29"/>
  <c r="N16" i="29"/>
  <c r="M16" i="29"/>
  <c r="N15" i="29"/>
  <c r="M15" i="29"/>
  <c r="N14" i="29"/>
  <c r="M14" i="29"/>
  <c r="N13" i="29"/>
  <c r="M13" i="29"/>
  <c r="N12" i="29"/>
  <c r="M12" i="29"/>
  <c r="F38" i="28"/>
  <c r="V83" i="25"/>
  <c r="A32" i="27"/>
  <c r="F21" i="28" l="1"/>
  <c r="F24" i="28"/>
  <c r="F26" i="28"/>
  <c r="F31" i="28"/>
  <c r="F33" i="28"/>
  <c r="F36" i="28"/>
  <c r="F14" i="28"/>
  <c r="C40" i="28"/>
  <c r="N121" i="29"/>
  <c r="N56" i="29"/>
  <c r="N72" i="29"/>
  <c r="N104" i="29"/>
  <c r="N130" i="29"/>
  <c r="N96" i="29"/>
  <c r="F123" i="29"/>
  <c r="N59" i="29"/>
  <c r="N47" i="29"/>
  <c r="N99" i="29"/>
  <c r="M120" i="29"/>
  <c r="N80" i="29"/>
  <c r="D45" i="29"/>
  <c r="N107" i="29"/>
  <c r="F143" i="29"/>
  <c r="N75" i="29"/>
  <c r="M131" i="29"/>
  <c r="S131" i="29" s="1"/>
  <c r="D133" i="29" s="1"/>
  <c r="D29" i="29"/>
  <c r="N83" i="29"/>
  <c r="N51" i="29"/>
  <c r="D40" i="29"/>
  <c r="N87" i="29"/>
  <c r="M87" i="29"/>
  <c r="N63" i="29"/>
  <c r="M63" i="29"/>
  <c r="M135" i="29"/>
  <c r="N135" i="29"/>
  <c r="N111" i="29"/>
  <c r="M111" i="29"/>
  <c r="M60" i="29"/>
  <c r="M108" i="29"/>
  <c r="M125" i="29"/>
  <c r="M67" i="29"/>
  <c r="M115" i="29"/>
  <c r="M64" i="29"/>
  <c r="M88" i="29"/>
  <c r="M112" i="29"/>
  <c r="M129" i="29"/>
  <c r="M136" i="29"/>
  <c r="N139" i="29"/>
  <c r="M71" i="29"/>
  <c r="M95" i="29"/>
  <c r="M119" i="29"/>
  <c r="M126" i="29"/>
  <c r="M68" i="29"/>
  <c r="M92" i="29"/>
  <c r="M116" i="29"/>
  <c r="M140" i="29"/>
  <c r="N91" i="29"/>
  <c r="M79" i="29"/>
  <c r="M103" i="29"/>
  <c r="M52" i="29"/>
  <c r="N55" i="29"/>
  <c r="M76" i="29"/>
  <c r="M100" i="29"/>
  <c r="M141" i="29"/>
  <c r="S141" i="29" s="1"/>
  <c r="D143" i="29" s="1"/>
  <c r="M144" i="29"/>
  <c r="M84" i="29"/>
  <c r="F17" i="28"/>
  <c r="F29" i="28"/>
  <c r="F22" i="28"/>
  <c r="F34" i="28"/>
  <c r="F15" i="28"/>
  <c r="F27" i="28"/>
  <c r="F39" i="28"/>
  <c r="F20" i="28"/>
  <c r="F32" i="28"/>
  <c r="F25" i="28"/>
  <c r="F37" i="28"/>
  <c r="F18" i="28"/>
  <c r="F30" i="28"/>
  <c r="F23" i="28"/>
  <c r="F35" i="28"/>
  <c r="F16" i="28"/>
  <c r="F28" i="28"/>
  <c r="E45" i="29" l="1"/>
  <c r="D16" i="28" s="1"/>
  <c r="E16" i="28" s="1"/>
  <c r="G16" i="28" s="1"/>
  <c r="E29" i="29"/>
  <c r="D14" i="28" s="1"/>
  <c r="E14" i="28" s="1"/>
  <c r="G14" i="28" s="1"/>
  <c r="E123" i="29"/>
  <c r="D35" i="28" s="1"/>
  <c r="E35" i="28" s="1"/>
  <c r="G35" i="28" s="1"/>
  <c r="E57" i="29"/>
  <c r="D19" i="28" s="1"/>
  <c r="E19" i="28" s="1"/>
  <c r="G19" i="28" s="1"/>
  <c r="E89" i="29"/>
  <c r="D27" i="28" s="1"/>
  <c r="E27" i="28" s="1"/>
  <c r="G27" i="28" s="1"/>
  <c r="E69" i="29"/>
  <c r="D22" i="28" s="1"/>
  <c r="E22" i="28" s="1"/>
  <c r="G22" i="28" s="1"/>
  <c r="E109" i="29"/>
  <c r="D32" i="28" s="1"/>
  <c r="E32" i="28" s="1"/>
  <c r="G32" i="28" s="1"/>
  <c r="E143" i="29"/>
  <c r="D39" i="28" s="1"/>
  <c r="E39" i="28" s="1"/>
  <c r="G39" i="28" s="1"/>
  <c r="E65" i="29"/>
  <c r="D21" i="28" s="1"/>
  <c r="E21" i="28" s="1"/>
  <c r="G21" i="28" s="1"/>
  <c r="E101" i="29"/>
  <c r="D30" i="28" s="1"/>
  <c r="E30" i="28" s="1"/>
  <c r="G30" i="28" s="1"/>
  <c r="E48" i="29"/>
  <c r="D17" i="28" s="1"/>
  <c r="E17" i="28" s="1"/>
  <c r="G17" i="28" s="1"/>
  <c r="E73" i="29"/>
  <c r="D23" i="28" s="1"/>
  <c r="E23" i="28" s="1"/>
  <c r="G23" i="28" s="1"/>
  <c r="E117" i="29"/>
  <c r="D34" i="28" s="1"/>
  <c r="E34" i="28" s="1"/>
  <c r="G34" i="28" s="1"/>
  <c r="E77" i="29"/>
  <c r="D24" i="28" s="1"/>
  <c r="E24" i="28" s="1"/>
  <c r="G24" i="28" s="1"/>
  <c r="E97" i="29"/>
  <c r="D29" i="28" s="1"/>
  <c r="E29" i="28" s="1"/>
  <c r="G29" i="28" s="1"/>
  <c r="E61" i="29"/>
  <c r="D20" i="28" s="1"/>
  <c r="E20" i="28" s="1"/>
  <c r="G20" i="28" s="1"/>
  <c r="E53" i="29"/>
  <c r="D18" i="28" s="1"/>
  <c r="E18" i="28" s="1"/>
  <c r="G18" i="28" s="1"/>
  <c r="E105" i="29"/>
  <c r="D31" i="28" s="1"/>
  <c r="E31" i="28" s="1"/>
  <c r="G31" i="28" s="1"/>
  <c r="E113" i="29"/>
  <c r="D33" i="28" s="1"/>
  <c r="E33" i="28" s="1"/>
  <c r="G33" i="28" s="1"/>
  <c r="E81" i="29"/>
  <c r="D25" i="28" s="1"/>
  <c r="E25" i="28" s="1"/>
  <c r="G25" i="28" s="1"/>
  <c r="E40" i="29"/>
  <c r="D15" i="28" s="1"/>
  <c r="E133" i="29"/>
  <c r="D37" i="28" s="1"/>
  <c r="E37" i="28" s="1"/>
  <c r="G37" i="28" s="1"/>
  <c r="E85" i="29"/>
  <c r="D26" i="28" s="1"/>
  <c r="E26" i="28" s="1"/>
  <c r="G26" i="28" s="1"/>
  <c r="E93" i="29"/>
  <c r="D28" i="28" s="1"/>
  <c r="E28" i="28" s="1"/>
  <c r="G28" i="28" s="1"/>
  <c r="E137" i="29"/>
  <c r="D38" i="28" s="1"/>
  <c r="E38" i="28" s="1"/>
  <c r="G38" i="28" s="1"/>
  <c r="E127" i="29"/>
  <c r="D36" i="28" s="1"/>
  <c r="E36" i="28" s="1"/>
  <c r="G36" i="28" s="1"/>
  <c r="E15" i="28" l="1"/>
  <c r="D40" i="28"/>
  <c r="E40" i="28" l="1"/>
  <c r="G15" i="28"/>
  <c r="G40" i="28" l="1"/>
  <c r="G41" i="28"/>
  <c r="V152" i="25" l="1"/>
  <c r="V142" i="25"/>
  <c r="V132" i="25"/>
  <c r="S152" i="25"/>
  <c r="J152" i="25"/>
  <c r="V131" i="25"/>
  <c r="S132" i="25"/>
  <c r="M132" i="25"/>
  <c r="N132" i="25"/>
  <c r="J132" i="25"/>
  <c r="N133" i="25"/>
  <c r="J131" i="25"/>
  <c r="N131" i="25" s="1"/>
  <c r="J142" i="25"/>
  <c r="J151" i="25"/>
  <c r="J147" i="25"/>
  <c r="J141" i="25"/>
  <c r="J137" i="25"/>
  <c r="J127" i="25"/>
  <c r="J123" i="25"/>
  <c r="J119" i="25"/>
  <c r="J115" i="25"/>
  <c r="J111" i="25"/>
  <c r="V111" i="25"/>
  <c r="J107" i="25"/>
  <c r="J103" i="25"/>
  <c r="J99" i="25"/>
  <c r="J95" i="25"/>
  <c r="J91" i="25"/>
  <c r="J87" i="25"/>
  <c r="J83" i="25"/>
  <c r="J79" i="25"/>
  <c r="J75" i="25"/>
  <c r="J63" i="25"/>
  <c r="M63" i="25" s="1"/>
  <c r="J71" i="25"/>
  <c r="J67" i="25"/>
  <c r="M133" i="25" l="1"/>
  <c r="M131" i="25"/>
  <c r="N63" i="25"/>
  <c r="J62" i="25"/>
  <c r="N62" i="25" s="1"/>
  <c r="M62" i="25" l="1"/>
  <c r="N67" i="25"/>
  <c r="M67" i="25"/>
  <c r="J146" i="25"/>
  <c r="J140" i="25"/>
  <c r="J136" i="25"/>
  <c r="J130" i="25"/>
  <c r="J126" i="25"/>
  <c r="J122" i="25"/>
  <c r="J118" i="25"/>
  <c r="J114" i="25"/>
  <c r="J110" i="25"/>
  <c r="J106" i="25"/>
  <c r="J102" i="25"/>
  <c r="J98" i="25"/>
  <c r="J94" i="25"/>
  <c r="J90" i="25"/>
  <c r="J86" i="25"/>
  <c r="J82" i="25"/>
  <c r="J78" i="25"/>
  <c r="J74" i="25"/>
  <c r="J70" i="25"/>
  <c r="J66" i="25"/>
  <c r="J58" i="25"/>
  <c r="S46" i="25"/>
  <c r="M46" i="25"/>
  <c r="N46" i="25"/>
  <c r="N45" i="25"/>
  <c r="M45" i="25"/>
  <c r="S43" i="25"/>
  <c r="M41" i="25"/>
  <c r="S41" i="25" s="1"/>
  <c r="N41" i="25"/>
  <c r="S40" i="25"/>
  <c r="M40" i="25"/>
  <c r="N40" i="25"/>
  <c r="S28" i="25" l="1"/>
  <c r="N71" i="25" l="1"/>
  <c r="M71" i="25"/>
  <c r="N70" i="25"/>
  <c r="N66" i="25"/>
  <c r="A33" i="27"/>
  <c r="N58" i="25"/>
  <c r="M42" i="25"/>
  <c r="N42" i="25"/>
  <c r="M43" i="25"/>
  <c r="N43" i="25"/>
  <c r="M47" i="25"/>
  <c r="N47" i="25"/>
  <c r="M39" i="25"/>
  <c r="N39" i="25"/>
  <c r="N143" i="25"/>
  <c r="M143" i="25"/>
  <c r="N142" i="25"/>
  <c r="M152" i="25"/>
  <c r="M153" i="25"/>
  <c r="J155" i="25"/>
  <c r="M155" i="25" s="1"/>
  <c r="V151" i="25"/>
  <c r="V147" i="25"/>
  <c r="V141" i="25"/>
  <c r="V137" i="25"/>
  <c r="V127" i="25"/>
  <c r="F128" i="25" s="1"/>
  <c r="C34" i="23" s="1"/>
  <c r="V123" i="25"/>
  <c r="F124" i="25" s="1"/>
  <c r="C33" i="23" s="1"/>
  <c r="V119" i="25"/>
  <c r="F120" i="25" s="1"/>
  <c r="C32" i="23" s="1"/>
  <c r="V115" i="25"/>
  <c r="F116" i="25" s="1"/>
  <c r="C31" i="23" s="1"/>
  <c r="F112" i="25"/>
  <c r="C30" i="23" s="1"/>
  <c r="V107" i="25"/>
  <c r="F108" i="25" s="1"/>
  <c r="C29" i="23" s="1"/>
  <c r="V103" i="25"/>
  <c r="F104" i="25" s="1"/>
  <c r="C28" i="23" s="1"/>
  <c r="V99" i="25"/>
  <c r="F100" i="25" s="1"/>
  <c r="C27" i="23" s="1"/>
  <c r="V95" i="25"/>
  <c r="F96" i="25" s="1"/>
  <c r="C26" i="23" s="1"/>
  <c r="V91" i="25"/>
  <c r="F92" i="25" s="1"/>
  <c r="C25" i="23" s="1"/>
  <c r="V87" i="25"/>
  <c r="F88" i="25" s="1"/>
  <c r="C24" i="23" s="1"/>
  <c r="V79" i="25"/>
  <c r="F80" i="25" s="1"/>
  <c r="C22" i="23" s="1"/>
  <c r="V75" i="25"/>
  <c r="F76" i="25" s="1"/>
  <c r="C21" i="23" s="1"/>
  <c r="F84" i="25"/>
  <c r="C23" i="23" s="1"/>
  <c r="F59" i="25"/>
  <c r="C17" i="23" s="1"/>
  <c r="F56" i="25"/>
  <c r="C16" i="23" s="1"/>
  <c r="F51" i="25"/>
  <c r="C15" i="23" s="1"/>
  <c r="F31" i="25"/>
  <c r="C14" i="23" s="1"/>
  <c r="F10" i="23"/>
  <c r="F38" i="23" s="1"/>
  <c r="D148" i="25"/>
  <c r="D138" i="25"/>
  <c r="D134" i="25"/>
  <c r="A20" i="26"/>
  <c r="A21" i="26" s="1"/>
  <c r="A15" i="26"/>
  <c r="A16" i="26" s="1"/>
  <c r="A10" i="26"/>
  <c r="A11" i="26" s="1"/>
  <c r="D154" i="25"/>
  <c r="N151" i="25"/>
  <c r="M151" i="25"/>
  <c r="N147" i="25"/>
  <c r="M147" i="25"/>
  <c r="N141" i="25"/>
  <c r="M141" i="25"/>
  <c r="N137" i="25"/>
  <c r="M137" i="25"/>
  <c r="N127" i="25"/>
  <c r="M127" i="25"/>
  <c r="N126" i="25"/>
  <c r="N123" i="25"/>
  <c r="M123" i="25"/>
  <c r="N122" i="25"/>
  <c r="N119" i="25"/>
  <c r="M119" i="25"/>
  <c r="N118" i="25"/>
  <c r="N115" i="25"/>
  <c r="M115" i="25"/>
  <c r="N114" i="25"/>
  <c r="N111" i="25"/>
  <c r="M111" i="25"/>
  <c r="N110" i="25"/>
  <c r="N107" i="25"/>
  <c r="M107" i="25"/>
  <c r="M106" i="25"/>
  <c r="N103" i="25"/>
  <c r="M103" i="25"/>
  <c r="N102" i="25"/>
  <c r="N99" i="25"/>
  <c r="M99" i="25"/>
  <c r="N98" i="25"/>
  <c r="N95" i="25"/>
  <c r="M95" i="25"/>
  <c r="N94" i="25"/>
  <c r="N91" i="25"/>
  <c r="M91" i="25"/>
  <c r="N90" i="25"/>
  <c r="N87" i="25"/>
  <c r="M87" i="25"/>
  <c r="N86" i="25"/>
  <c r="N83" i="25"/>
  <c r="M83" i="25"/>
  <c r="N82" i="25"/>
  <c r="N79" i="25"/>
  <c r="M79" i="25"/>
  <c r="N78" i="25"/>
  <c r="M75" i="25"/>
  <c r="N75" i="25"/>
  <c r="N74" i="25"/>
  <c r="J150" i="25"/>
  <c r="M150" i="25" s="1"/>
  <c r="N146" i="25"/>
  <c r="N149" i="25"/>
  <c r="M149" i="25"/>
  <c r="N145" i="25"/>
  <c r="M145" i="25"/>
  <c r="N140" i="25"/>
  <c r="N139" i="25"/>
  <c r="M139" i="25"/>
  <c r="N136" i="25"/>
  <c r="N135" i="25"/>
  <c r="M135" i="25"/>
  <c r="N130" i="25"/>
  <c r="N129" i="25"/>
  <c r="M129" i="25"/>
  <c r="D128" i="25"/>
  <c r="D124" i="25"/>
  <c r="D120" i="25"/>
  <c r="D116" i="25"/>
  <c r="D112" i="25"/>
  <c r="D108" i="25"/>
  <c r="D104" i="25"/>
  <c r="D100" i="25"/>
  <c r="D96" i="25"/>
  <c r="D92" i="25"/>
  <c r="D88" i="25"/>
  <c r="D84" i="25"/>
  <c r="D80" i="25"/>
  <c r="D76" i="25"/>
  <c r="D72" i="25"/>
  <c r="D68" i="25"/>
  <c r="N125" i="25"/>
  <c r="M125" i="25"/>
  <c r="N121" i="25"/>
  <c r="M121" i="25"/>
  <c r="N117" i="25"/>
  <c r="M117" i="25"/>
  <c r="N113" i="25"/>
  <c r="M113" i="25"/>
  <c r="N109" i="25"/>
  <c r="M109" i="25"/>
  <c r="N105" i="25"/>
  <c r="M105" i="25"/>
  <c r="N101" i="25"/>
  <c r="M101" i="25"/>
  <c r="N97" i="25"/>
  <c r="M97" i="25"/>
  <c r="N93" i="25"/>
  <c r="M93" i="25"/>
  <c r="N89" i="25"/>
  <c r="M89" i="25"/>
  <c r="N85" i="25"/>
  <c r="M85" i="25"/>
  <c r="N81" i="25"/>
  <c r="M81" i="25"/>
  <c r="N77" i="25"/>
  <c r="M77" i="25"/>
  <c r="N73" i="25"/>
  <c r="M73" i="25"/>
  <c r="N69" i="25"/>
  <c r="M69" i="25"/>
  <c r="D64" i="25"/>
  <c r="M61" i="25"/>
  <c r="N61" i="25"/>
  <c r="D59" i="25"/>
  <c r="N57" i="25"/>
  <c r="M57" i="25"/>
  <c r="N55" i="25"/>
  <c r="M55" i="25"/>
  <c r="N53" i="25"/>
  <c r="M53" i="25"/>
  <c r="S52" i="25"/>
  <c r="N52" i="25"/>
  <c r="M52" i="25"/>
  <c r="N13" i="25"/>
  <c r="N14" i="25"/>
  <c r="N15" i="25"/>
  <c r="N16" i="25"/>
  <c r="N17" i="25"/>
  <c r="N18" i="25"/>
  <c r="N19" i="25"/>
  <c r="N20" i="25"/>
  <c r="N21" i="25"/>
  <c r="N22" i="25"/>
  <c r="N23" i="25"/>
  <c r="N24" i="25"/>
  <c r="N25" i="25"/>
  <c r="N26" i="25"/>
  <c r="N27" i="25"/>
  <c r="N28" i="25"/>
  <c r="N29" i="25"/>
  <c r="N30" i="25"/>
  <c r="N32" i="25"/>
  <c r="N33" i="25"/>
  <c r="N34" i="25"/>
  <c r="N35" i="25"/>
  <c r="N36" i="25"/>
  <c r="N37" i="25"/>
  <c r="N38" i="25"/>
  <c r="N48" i="25"/>
  <c r="N49" i="25"/>
  <c r="N50" i="25"/>
  <c r="N54" i="25"/>
  <c r="N60" i="25"/>
  <c r="N65" i="25"/>
  <c r="N12" i="25"/>
  <c r="M32" i="25"/>
  <c r="M33" i="25"/>
  <c r="S35" i="25" s="1"/>
  <c r="M34" i="25"/>
  <c r="M35" i="25"/>
  <c r="M36" i="25"/>
  <c r="S37" i="25" s="1"/>
  <c r="M37" i="25"/>
  <c r="M38" i="25"/>
  <c r="M48" i="25"/>
  <c r="S49" i="25" s="1"/>
  <c r="M49" i="25"/>
  <c r="M50" i="25"/>
  <c r="M54" i="25"/>
  <c r="S55" i="25" s="1"/>
  <c r="M60" i="25"/>
  <c r="M65" i="25"/>
  <c r="M13" i="25"/>
  <c r="M14" i="25"/>
  <c r="M15" i="25"/>
  <c r="M16" i="25"/>
  <c r="M17" i="25"/>
  <c r="M18" i="25"/>
  <c r="M19" i="25"/>
  <c r="M20" i="25"/>
  <c r="M21" i="25"/>
  <c r="M22" i="25"/>
  <c r="M23" i="25"/>
  <c r="M24" i="25"/>
  <c r="M25" i="25"/>
  <c r="M26" i="25"/>
  <c r="M27" i="25"/>
  <c r="M28" i="25"/>
  <c r="M29" i="25"/>
  <c r="M30" i="25"/>
  <c r="M12" i="25"/>
  <c r="S29" i="25"/>
  <c r="S34" i="25"/>
  <c r="S27" i="25"/>
  <c r="S26" i="25"/>
  <c r="S25" i="25"/>
  <c r="S23" i="25"/>
  <c r="S20" i="25"/>
  <c r="S19" i="25"/>
  <c r="S18" i="25"/>
  <c r="F37" i="23" l="1"/>
  <c r="V63" i="25"/>
  <c r="F64" i="25" s="1"/>
  <c r="C18" i="23" s="1"/>
  <c r="V67" i="25"/>
  <c r="F68" i="25" s="1"/>
  <c r="C19" i="23" s="1"/>
  <c r="V71" i="25"/>
  <c r="F72" i="25" s="1"/>
  <c r="C20" i="23" s="1"/>
  <c r="S32" i="25"/>
  <c r="D51" i="25" s="1"/>
  <c r="D56" i="25"/>
  <c r="M70" i="25"/>
  <c r="M66" i="25"/>
  <c r="M58" i="25"/>
  <c r="M142" i="25"/>
  <c r="S142" i="25" s="1"/>
  <c r="D144" i="25" s="1"/>
  <c r="F144" i="25"/>
  <c r="C37" i="23" s="1"/>
  <c r="N152" i="25"/>
  <c r="F138" i="25"/>
  <c r="C36" i="23" s="1"/>
  <c r="N155" i="25"/>
  <c r="F134" i="25"/>
  <c r="C35" i="23" s="1"/>
  <c r="N153" i="25"/>
  <c r="F154" i="25"/>
  <c r="C39" i="23" s="1"/>
  <c r="F148" i="25"/>
  <c r="C38" i="23" s="1"/>
  <c r="F36" i="23"/>
  <c r="F32" i="23"/>
  <c r="F35" i="23"/>
  <c r="F34" i="23"/>
  <c r="F39" i="23"/>
  <c r="F33" i="23"/>
  <c r="M94" i="25"/>
  <c r="M126" i="25"/>
  <c r="M122" i="25"/>
  <c r="M118" i="25"/>
  <c r="M114" i="25"/>
  <c r="M110" i="25"/>
  <c r="N106" i="25"/>
  <c r="M102" i="25"/>
  <c r="M98" i="25"/>
  <c r="M90" i="25"/>
  <c r="M86" i="25"/>
  <c r="M82" i="25"/>
  <c r="M78" i="25"/>
  <c r="M74" i="25"/>
  <c r="N150" i="25"/>
  <c r="M146" i="25"/>
  <c r="M140" i="25"/>
  <c r="M136" i="25"/>
  <c r="M130" i="25"/>
  <c r="D31" i="25"/>
  <c r="F29" i="23"/>
  <c r="F21" i="23"/>
  <c r="F14" i="23"/>
  <c r="F15" i="23"/>
  <c r="F24" i="23"/>
  <c r="F30" i="23"/>
  <c r="F23" i="23"/>
  <c r="F17" i="23"/>
  <c r="F18" i="23"/>
  <c r="F26" i="23"/>
  <c r="F20" i="23"/>
  <c r="F27" i="23"/>
  <c r="F19" i="23"/>
  <c r="F25" i="23"/>
  <c r="F31" i="23"/>
  <c r="F16" i="23"/>
  <c r="F22" i="23"/>
  <c r="F28" i="23"/>
  <c r="E148" i="25" l="1"/>
  <c r="D38" i="23" s="1"/>
  <c r="E38" i="23" s="1"/>
  <c r="G38" i="23" s="1"/>
  <c r="E144" i="25"/>
  <c r="D37" i="23" s="1"/>
  <c r="E37" i="23" s="1"/>
  <c r="G37" i="23" s="1"/>
  <c r="E154" i="25"/>
  <c r="D39" i="23" s="1"/>
  <c r="E39" i="23" s="1"/>
  <c r="G39" i="23" s="1"/>
  <c r="E134" i="25"/>
  <c r="D35" i="23" s="1"/>
  <c r="E35" i="23" s="1"/>
  <c r="G35" i="23" s="1"/>
  <c r="E138" i="25"/>
  <c r="D36" i="23" s="1"/>
  <c r="E36" i="23" s="1"/>
  <c r="G36" i="23" s="1"/>
  <c r="C40" i="23"/>
  <c r="E124" i="25"/>
  <c r="D33" i="23" s="1"/>
  <c r="E33" i="23" s="1"/>
  <c r="G33" i="23" s="1"/>
  <c r="E112" i="25"/>
  <c r="D30" i="23" s="1"/>
  <c r="E30" i="23" s="1"/>
  <c r="G30" i="23" s="1"/>
  <c r="E104" i="25"/>
  <c r="D28" i="23" s="1"/>
  <c r="E28" i="23" s="1"/>
  <c r="G28" i="23" s="1"/>
  <c r="E92" i="25"/>
  <c r="D25" i="23" s="1"/>
  <c r="E25" i="23" s="1"/>
  <c r="G25" i="23" s="1"/>
  <c r="E88" i="25"/>
  <c r="D24" i="23" s="1"/>
  <c r="E24" i="23" s="1"/>
  <c r="G24" i="23" s="1"/>
  <c r="E128" i="25"/>
  <c r="D34" i="23" s="1"/>
  <c r="E34" i="23" s="1"/>
  <c r="G34" i="23" s="1"/>
  <c r="E120" i="25"/>
  <c r="D32" i="23" s="1"/>
  <c r="E32" i="23" s="1"/>
  <c r="G32" i="23" s="1"/>
  <c r="E72" i="25"/>
  <c r="D20" i="23" s="1"/>
  <c r="E20" i="23" s="1"/>
  <c r="G20" i="23" s="1"/>
  <c r="E76" i="25"/>
  <c r="D21" i="23" s="1"/>
  <c r="E21" i="23" s="1"/>
  <c r="G21" i="23" s="1"/>
  <c r="E80" i="25"/>
  <c r="D22" i="23" s="1"/>
  <c r="E22" i="23" s="1"/>
  <c r="G22" i="23" s="1"/>
  <c r="E116" i="25"/>
  <c r="D31" i="23" s="1"/>
  <c r="E31" i="23" s="1"/>
  <c r="G31" i="23" s="1"/>
  <c r="E68" i="25"/>
  <c r="D19" i="23" s="1"/>
  <c r="E19" i="23" s="1"/>
  <c r="G19" i="23" s="1"/>
  <c r="E84" i="25"/>
  <c r="D23" i="23" s="1"/>
  <c r="E23" i="23" s="1"/>
  <c r="G23" i="23" s="1"/>
  <c r="E108" i="25"/>
  <c r="D29" i="23" s="1"/>
  <c r="E29" i="23" s="1"/>
  <c r="G29" i="23" s="1"/>
  <c r="E96" i="25"/>
  <c r="D26" i="23" s="1"/>
  <c r="E26" i="23" s="1"/>
  <c r="G26" i="23" s="1"/>
  <c r="E100" i="25"/>
  <c r="D27" i="23" s="1"/>
  <c r="E27" i="23" s="1"/>
  <c r="G27" i="23" s="1"/>
  <c r="E59" i="25"/>
  <c r="D17" i="23" s="1"/>
  <c r="E17" i="23" s="1"/>
  <c r="G17" i="23" s="1"/>
  <c r="E64" i="25"/>
  <c r="D18" i="23" s="1"/>
  <c r="E18" i="23" s="1"/>
  <c r="G18" i="23" s="1"/>
  <c r="E56" i="25"/>
  <c r="D16" i="23" s="1"/>
  <c r="E16" i="23" s="1"/>
  <c r="G16" i="23" s="1"/>
  <c r="E51" i="25"/>
  <c r="D15" i="23" s="1"/>
  <c r="E15" i="23" s="1"/>
  <c r="G15" i="23" s="1"/>
  <c r="E31" i="25"/>
  <c r="D14" i="23" s="1"/>
  <c r="D40" i="23" l="1"/>
  <c r="E14" i="23"/>
  <c r="E40" i="23" s="1"/>
  <c r="AB45" i="17"/>
  <c r="AC45" i="10"/>
  <c r="AD45" i="10"/>
  <c r="AE45" i="10"/>
  <c r="AC45" i="11"/>
  <c r="AD45" i="11"/>
  <c r="AC45" i="12"/>
  <c r="AD45" i="12"/>
  <c r="AE45" i="12"/>
  <c r="AC45" i="13"/>
  <c r="AD45" i="13"/>
  <c r="AC45" i="14"/>
  <c r="AD45" i="14"/>
  <c r="AE45" i="14"/>
  <c r="AC45" i="15"/>
  <c r="AD45" i="15"/>
  <c r="AE45" i="15"/>
  <c r="AC45" i="16"/>
  <c r="AD45" i="16"/>
  <c r="AC45" i="17"/>
  <c r="AD45" i="17"/>
  <c r="AE45" i="17"/>
  <c r="AC45" i="18"/>
  <c r="AD45" i="18"/>
  <c r="AG6" i="19"/>
  <c r="AG29" i="19"/>
  <c r="AG34" i="19"/>
  <c r="AG37" i="19"/>
  <c r="AG40" i="19"/>
  <c r="AG44" i="19"/>
  <c r="AC45" i="19"/>
  <c r="AD45" i="19"/>
  <c r="AE45" i="19"/>
  <c r="AF45" i="19"/>
  <c r="AB45" i="19"/>
  <c r="AG6" i="10"/>
  <c r="B45" i="19"/>
  <c r="C45" i="19"/>
  <c r="D45" i="19"/>
  <c r="E45" i="19"/>
  <c r="F45" i="19"/>
  <c r="G45" i="19"/>
  <c r="H45" i="19"/>
  <c r="I45" i="19"/>
  <c r="J45" i="19"/>
  <c r="K45" i="19"/>
  <c r="L45" i="19"/>
  <c r="M45" i="19"/>
  <c r="N45" i="19"/>
  <c r="O45" i="19"/>
  <c r="P45" i="19"/>
  <c r="Q45" i="19"/>
  <c r="R45" i="19"/>
  <c r="S45" i="19"/>
  <c r="T45" i="19"/>
  <c r="U45" i="19"/>
  <c r="V45" i="19"/>
  <c r="W45" i="19"/>
  <c r="X45" i="19"/>
  <c r="Y45" i="19"/>
  <c r="Z45" i="19"/>
  <c r="AA45" i="19"/>
  <c r="AG24" i="19"/>
  <c r="AG19" i="19"/>
  <c r="AG14" i="19"/>
  <c r="AG10" i="19"/>
  <c r="B45" i="18"/>
  <c r="C45" i="18"/>
  <c r="D45" i="18"/>
  <c r="E45" i="18"/>
  <c r="F45" i="18"/>
  <c r="G45" i="18"/>
  <c r="H45" i="18"/>
  <c r="I45" i="18"/>
  <c r="J45" i="18"/>
  <c r="K45" i="18"/>
  <c r="L45" i="18"/>
  <c r="M45" i="18"/>
  <c r="N45" i="18"/>
  <c r="O45" i="18"/>
  <c r="P45" i="18"/>
  <c r="Q45" i="18"/>
  <c r="R45" i="18"/>
  <c r="S45" i="18"/>
  <c r="T45" i="18"/>
  <c r="U45" i="18"/>
  <c r="V45" i="18"/>
  <c r="W45" i="18"/>
  <c r="X45" i="18"/>
  <c r="Y45" i="18"/>
  <c r="Z45" i="18"/>
  <c r="AA45" i="18"/>
  <c r="AB45" i="18"/>
  <c r="AE45" i="18"/>
  <c r="AF44" i="18"/>
  <c r="AF40" i="18"/>
  <c r="AF37" i="18"/>
  <c r="AF34" i="18"/>
  <c r="AF29" i="18"/>
  <c r="AF24" i="18"/>
  <c r="AF19" i="18"/>
  <c r="AF14" i="18"/>
  <c r="AF10" i="18"/>
  <c r="AF6" i="18"/>
  <c r="B45" i="17"/>
  <c r="C45" i="17"/>
  <c r="D45" i="17"/>
  <c r="E45" i="17"/>
  <c r="F45" i="17"/>
  <c r="G45" i="17"/>
  <c r="H45" i="17"/>
  <c r="I45" i="17"/>
  <c r="J45" i="17"/>
  <c r="K45" i="17"/>
  <c r="L45" i="17"/>
  <c r="M45" i="17"/>
  <c r="N45" i="17"/>
  <c r="O45" i="17"/>
  <c r="P45" i="17"/>
  <c r="Q45" i="17"/>
  <c r="R45" i="17"/>
  <c r="S45" i="17"/>
  <c r="T45" i="17"/>
  <c r="U45" i="17"/>
  <c r="V45" i="17"/>
  <c r="W45" i="17"/>
  <c r="X45" i="17"/>
  <c r="Y45" i="17"/>
  <c r="Z45" i="17"/>
  <c r="AA45" i="17"/>
  <c r="AF45" i="17"/>
  <c r="AG44" i="17"/>
  <c r="AG40" i="17"/>
  <c r="AG37" i="17"/>
  <c r="AG34" i="17"/>
  <c r="AG29" i="17"/>
  <c r="AG24" i="17"/>
  <c r="AG19" i="17"/>
  <c r="AG14" i="17"/>
  <c r="AG10" i="17"/>
  <c r="AG6" i="17"/>
  <c r="B45" i="16"/>
  <c r="C45" i="16"/>
  <c r="D45" i="16"/>
  <c r="E45" i="16"/>
  <c r="F45" i="16"/>
  <c r="G45" i="16"/>
  <c r="H45" i="16"/>
  <c r="I45" i="16"/>
  <c r="J45" i="16"/>
  <c r="K45" i="16"/>
  <c r="L45" i="16"/>
  <c r="M45" i="16"/>
  <c r="N45" i="16"/>
  <c r="O45" i="16"/>
  <c r="P45" i="16"/>
  <c r="Q45" i="16"/>
  <c r="R45" i="16"/>
  <c r="S45" i="16"/>
  <c r="T45" i="16"/>
  <c r="U45" i="16"/>
  <c r="V45" i="16"/>
  <c r="W45" i="16"/>
  <c r="X45" i="16"/>
  <c r="Y45" i="16"/>
  <c r="Z45" i="16"/>
  <c r="AA45" i="16"/>
  <c r="AB45" i="16"/>
  <c r="AE45" i="16"/>
  <c r="AF44" i="16"/>
  <c r="AF40" i="16"/>
  <c r="AF37" i="16"/>
  <c r="AF34" i="16"/>
  <c r="AF29" i="16"/>
  <c r="AF24" i="16"/>
  <c r="AF19" i="16"/>
  <c r="AF14" i="16"/>
  <c r="AF10" i="16"/>
  <c r="AF6" i="16"/>
  <c r="B45" i="15"/>
  <c r="C45" i="15"/>
  <c r="D45" i="15"/>
  <c r="E45" i="15"/>
  <c r="F45" i="15"/>
  <c r="G45" i="15"/>
  <c r="H45" i="15"/>
  <c r="I45" i="15"/>
  <c r="J45" i="15"/>
  <c r="K45" i="15"/>
  <c r="L45" i="15"/>
  <c r="M45" i="15"/>
  <c r="N45" i="15"/>
  <c r="O45" i="15"/>
  <c r="P45" i="15"/>
  <c r="Q45" i="15"/>
  <c r="R45" i="15"/>
  <c r="S45" i="15"/>
  <c r="T45" i="15"/>
  <c r="U45" i="15"/>
  <c r="V45" i="15"/>
  <c r="W45" i="15"/>
  <c r="X45" i="15"/>
  <c r="Y45" i="15"/>
  <c r="Z45" i="15"/>
  <c r="AA45" i="15"/>
  <c r="AB45" i="15"/>
  <c r="AF45" i="15"/>
  <c r="AG44" i="15"/>
  <c r="AG40" i="15"/>
  <c r="AG37" i="15"/>
  <c r="AG34" i="15"/>
  <c r="AG29" i="15"/>
  <c r="AG24" i="15"/>
  <c r="AG19" i="15"/>
  <c r="AG14" i="15"/>
  <c r="AG10" i="15"/>
  <c r="AG6" i="15"/>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F45" i="14"/>
  <c r="AG44" i="14"/>
  <c r="AG40" i="14"/>
  <c r="AG37" i="14"/>
  <c r="AG34" i="14"/>
  <c r="AG29" i="14"/>
  <c r="AG24" i="14"/>
  <c r="AG19" i="14"/>
  <c r="AG14" i="14"/>
  <c r="AG10" i="14"/>
  <c r="AG6" i="14"/>
  <c r="B45" i="13"/>
  <c r="C45" i="13"/>
  <c r="D45" i="13"/>
  <c r="E45" i="13"/>
  <c r="F45" i="13"/>
  <c r="G45" i="13"/>
  <c r="H45" i="13"/>
  <c r="I45" i="13"/>
  <c r="J45" i="13"/>
  <c r="K45" i="13"/>
  <c r="L45" i="13"/>
  <c r="M45" i="13"/>
  <c r="N45" i="13"/>
  <c r="O45" i="13"/>
  <c r="P45" i="13"/>
  <c r="Q45" i="13"/>
  <c r="R45" i="13"/>
  <c r="S45" i="13"/>
  <c r="T45" i="13"/>
  <c r="U45" i="13"/>
  <c r="V45" i="13"/>
  <c r="W45" i="13"/>
  <c r="X45" i="13"/>
  <c r="Y45" i="13"/>
  <c r="Z45" i="13"/>
  <c r="AA45" i="13"/>
  <c r="AB45" i="13"/>
  <c r="AE45" i="13"/>
  <c r="AF44" i="13"/>
  <c r="AF40" i="13"/>
  <c r="AF37" i="13"/>
  <c r="AF34" i="13"/>
  <c r="AF29" i="13"/>
  <c r="AF24" i="13"/>
  <c r="AF19" i="13"/>
  <c r="AF14" i="13"/>
  <c r="AF10" i="13"/>
  <c r="AF6" i="13"/>
  <c r="B45" i="12"/>
  <c r="C45" i="12"/>
  <c r="D45" i="12"/>
  <c r="E45" i="12"/>
  <c r="F45" i="12"/>
  <c r="G45" i="12"/>
  <c r="H45" i="12"/>
  <c r="I45" i="12"/>
  <c r="J45" i="12"/>
  <c r="K45" i="12"/>
  <c r="L45" i="12"/>
  <c r="M45" i="12"/>
  <c r="N45" i="12"/>
  <c r="O45" i="12"/>
  <c r="P45" i="12"/>
  <c r="Q45" i="12"/>
  <c r="R45" i="12"/>
  <c r="S45" i="12"/>
  <c r="T45" i="12"/>
  <c r="U45" i="12"/>
  <c r="V45" i="12"/>
  <c r="W45" i="12"/>
  <c r="X45" i="12"/>
  <c r="Y45" i="12"/>
  <c r="Z45" i="12"/>
  <c r="AA45" i="12"/>
  <c r="AB45" i="12"/>
  <c r="AF45" i="12"/>
  <c r="AG44" i="12"/>
  <c r="AG40" i="12"/>
  <c r="AG37" i="12"/>
  <c r="AG34" i="12"/>
  <c r="AG29" i="12"/>
  <c r="AG24" i="12"/>
  <c r="AG19" i="12"/>
  <c r="AG14" i="12"/>
  <c r="AG10" i="12"/>
  <c r="AG6" i="12"/>
  <c r="B45" i="11"/>
  <c r="AF45" i="11" s="1"/>
  <c r="C45" i="11"/>
  <c r="D45" i="11"/>
  <c r="E45" i="11"/>
  <c r="F45" i="11"/>
  <c r="G45" i="11"/>
  <c r="H45" i="11"/>
  <c r="I45" i="11"/>
  <c r="J45" i="11"/>
  <c r="K45" i="11"/>
  <c r="L45" i="11"/>
  <c r="M45" i="11"/>
  <c r="N45" i="11"/>
  <c r="O45" i="11"/>
  <c r="P45" i="11"/>
  <c r="Q45" i="11"/>
  <c r="R45" i="11"/>
  <c r="S45" i="11"/>
  <c r="T45" i="11"/>
  <c r="U45" i="11"/>
  <c r="V45" i="11"/>
  <c r="W45" i="11"/>
  <c r="X45" i="11"/>
  <c r="Y45" i="11"/>
  <c r="Z45" i="11"/>
  <c r="AA45" i="11"/>
  <c r="AB45" i="11"/>
  <c r="AE45" i="11"/>
  <c r="AF44" i="11"/>
  <c r="AF40" i="11"/>
  <c r="AF37" i="11"/>
  <c r="AF34" i="11"/>
  <c r="AF29" i="11"/>
  <c r="AF24" i="11"/>
  <c r="AF19" i="11"/>
  <c r="AF14" i="11"/>
  <c r="AF10" i="11"/>
  <c r="AF6" i="11"/>
  <c r="B45" i="10"/>
  <c r="C45" i="10"/>
  <c r="D45" i="10"/>
  <c r="E45" i="10"/>
  <c r="F45" i="10"/>
  <c r="G45" i="10"/>
  <c r="H45" i="10"/>
  <c r="I45" i="10"/>
  <c r="J45" i="10"/>
  <c r="K45" i="10"/>
  <c r="L45" i="10"/>
  <c r="M45" i="10"/>
  <c r="N45" i="10"/>
  <c r="O45" i="10"/>
  <c r="P45" i="10"/>
  <c r="Q45" i="10"/>
  <c r="R45" i="10"/>
  <c r="S45" i="10"/>
  <c r="T45" i="10"/>
  <c r="U45" i="10"/>
  <c r="V45" i="10"/>
  <c r="W45" i="10"/>
  <c r="X45" i="10"/>
  <c r="Y45" i="10"/>
  <c r="Z45" i="10"/>
  <c r="AA45" i="10"/>
  <c r="AB45" i="10"/>
  <c r="AF45" i="10"/>
  <c r="AG44" i="10"/>
  <c r="AG40" i="10"/>
  <c r="AG37" i="10"/>
  <c r="AG34" i="10"/>
  <c r="AG29" i="10"/>
  <c r="AG24" i="10"/>
  <c r="AG19" i="10"/>
  <c r="AG14" i="10"/>
  <c r="AG10" i="10"/>
  <c r="B45" i="9"/>
  <c r="C45" i="9"/>
  <c r="D45" i="9"/>
  <c r="E45" i="9"/>
  <c r="F45" i="9"/>
  <c r="G45" i="9"/>
  <c r="H45" i="9"/>
  <c r="I45" i="9"/>
  <c r="J45" i="9"/>
  <c r="K45" i="9"/>
  <c r="L45" i="9"/>
  <c r="M45" i="9"/>
  <c r="N45" i="9"/>
  <c r="O45" i="9"/>
  <c r="P45" i="9"/>
  <c r="Q45" i="9"/>
  <c r="R45" i="9"/>
  <c r="S45" i="9"/>
  <c r="T45" i="9"/>
  <c r="U45" i="9"/>
  <c r="V45" i="9"/>
  <c r="W45" i="9"/>
  <c r="X45" i="9"/>
  <c r="Y45" i="9"/>
  <c r="Z45" i="9"/>
  <c r="AA45" i="9"/>
  <c r="AB45" i="9"/>
  <c r="AC45" i="9"/>
  <c r="AD44" i="9"/>
  <c r="AD40" i="9"/>
  <c r="AD37" i="9"/>
  <c r="AD34" i="9"/>
  <c r="AD29" i="9"/>
  <c r="AD24" i="9"/>
  <c r="AD19" i="9"/>
  <c r="AD14" i="9"/>
  <c r="AD10" i="9"/>
  <c r="AD6" i="9"/>
  <c r="AG6" i="1"/>
  <c r="AG10" i="1"/>
  <c r="AG14" i="1"/>
  <c r="L45" i="1"/>
  <c r="B45" i="1"/>
  <c r="M45" i="1"/>
  <c r="C45" i="1"/>
  <c r="D45" i="1"/>
  <c r="E45" i="1"/>
  <c r="F45" i="1"/>
  <c r="G45" i="1"/>
  <c r="H45" i="1"/>
  <c r="I45" i="1"/>
  <c r="J45" i="1"/>
  <c r="K45" i="1"/>
  <c r="N45" i="1"/>
  <c r="O45" i="1"/>
  <c r="P45" i="1"/>
  <c r="Q45" i="1"/>
  <c r="R45" i="1"/>
  <c r="S45" i="1"/>
  <c r="T45" i="1"/>
  <c r="U45" i="1"/>
  <c r="V45" i="1"/>
  <c r="W45" i="1"/>
  <c r="X45" i="1"/>
  <c r="Y45" i="1"/>
  <c r="Z45" i="1"/>
  <c r="AA45" i="1"/>
  <c r="AB45" i="1"/>
  <c r="AC45" i="1"/>
  <c r="AD45" i="1"/>
  <c r="AE45" i="1"/>
  <c r="AF45" i="1"/>
  <c r="AG44" i="1"/>
  <c r="AG40" i="1"/>
  <c r="AG37" i="1"/>
  <c r="AG34" i="1"/>
  <c r="AG29" i="1"/>
  <c r="AG24" i="1"/>
  <c r="AG19" i="1"/>
  <c r="G14" i="23" l="1"/>
  <c r="G40" i="23" s="1"/>
  <c r="AG45" i="15"/>
  <c r="AG45" i="19"/>
  <c r="AG45" i="12"/>
  <c r="AF45" i="13"/>
  <c r="AG45" i="17"/>
  <c r="AF45" i="16"/>
  <c r="AG45" i="10"/>
  <c r="AG45" i="14"/>
  <c r="AF45" i="18"/>
  <c r="AD45" i="9"/>
  <c r="AG45" i="1"/>
  <c r="G41"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Anja</author>
  </authors>
  <commentList>
    <comment ref="V25" authorId="0" shapeId="0" xr:uid="{4611D7EB-1ADB-4460-901A-6BC51F75BC2E}">
      <text>
        <r>
          <rPr>
            <b/>
            <sz val="9"/>
            <color indexed="81"/>
            <rFont val="Segoe UI"/>
            <family val="2"/>
          </rPr>
          <t>admin:</t>
        </r>
        <r>
          <rPr>
            <sz val="9"/>
            <color indexed="81"/>
            <rFont val="Segoe UI"/>
            <family val="2"/>
          </rPr>
          <t xml:space="preserve">
Bitte Anzahl und Kosten ergänzen</t>
        </r>
      </text>
    </comment>
    <comment ref="U71" authorId="1" shapeId="0" xr:uid="{BD36CBD3-F772-43F6-89E5-D058734248FA}">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75" authorId="1" shapeId="0" xr:uid="{C5B6059C-0D1D-479A-A361-9BEE27BB26E7}">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79" authorId="1" shapeId="0" xr:uid="{DE8FA325-0801-4C66-972E-C44E8E891D08}">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83" authorId="1" shapeId="0" xr:uid="{EFFEACE6-7103-488C-A2D1-1AC155EA717C}">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87" authorId="1" shapeId="0" xr:uid="{5A33C476-6AC2-4507-A992-1FF779980018}">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1" authorId="1" shapeId="0" xr:uid="{287DCCE7-3536-4281-8F1E-83084F84E012}">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5" authorId="1" shapeId="0" xr:uid="{4FAB4280-52F2-4076-BD79-A44745E0CB62}">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9" authorId="1" shapeId="0" xr:uid="{24408F4A-2058-4FE7-97B8-BD8590D0753A}">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03" authorId="1" shapeId="0" xr:uid="{3067C6C3-FF64-4903-9E26-2651330CC00B}">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07" authorId="1" shapeId="0" xr:uid="{83A212F0-2E98-4B88-9D37-CB54E9ADD09A}">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1" authorId="1" shapeId="0" xr:uid="{7F31CE94-8365-413C-80B4-53E022D9D9F1}">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5" authorId="1" shapeId="0" xr:uid="{9EAEBDFC-C413-42F6-B018-1AA52D6A7257}">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9" authorId="1" shapeId="0" xr:uid="{E98FCC65-3D72-4EDE-846A-67420607B9E0}">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25" authorId="1" shapeId="0" xr:uid="{74DBFC74-F07F-475C-B5B7-0D602FC79790}">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29" authorId="1" shapeId="0" xr:uid="{899501A5-EC94-47B4-B091-AE4A292B41E7}">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35" authorId="1" shapeId="0" xr:uid="{6305F57B-7739-41B4-BECA-840382A1E969}">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39" authorId="1" shapeId="0" xr:uid="{0AF2FDFD-A420-401C-8B48-D8A8DE5FF1A1}">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V139" authorId="1" shapeId="0" xr:uid="{D586966A-0A38-4B16-88BB-9131B681DA7F}">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Anja</author>
  </authors>
  <commentList>
    <comment ref="V26" authorId="0" shapeId="0" xr:uid="{646B7E21-BF41-4EE8-8EA3-4732E57DCDC6}">
      <text>
        <r>
          <rPr>
            <b/>
            <sz val="9"/>
            <color indexed="81"/>
            <rFont val="Segoe UI"/>
            <family val="2"/>
          </rPr>
          <t>admin:</t>
        </r>
        <r>
          <rPr>
            <sz val="9"/>
            <color indexed="81"/>
            <rFont val="Segoe UI"/>
            <family val="2"/>
          </rPr>
          <t xml:space="preserve">
Bitte Anzahl und Kosten ergänzen</t>
        </r>
      </text>
    </comment>
    <comment ref="U82" authorId="1" shapeId="0" xr:uid="{5D694DB4-9D47-4CFC-B536-5AED17090588}">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86" authorId="1" shapeId="0" xr:uid="{54D6495B-509A-4EAD-B0F8-C815CC2F781E}">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0" authorId="1" shapeId="0" xr:uid="{9294468A-113B-4CE0-9531-B2B3FCE177F9}">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4" authorId="1" shapeId="0" xr:uid="{B8B7DA92-23E7-4FE1-BA7B-4D558CF2C297}">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98" authorId="1" shapeId="0" xr:uid="{1741939D-4905-411F-BDA5-B0FB7CB5479F}">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02" authorId="1" shapeId="0" xr:uid="{63663891-B161-4943-94F4-5B8F105DF1BF}">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06" authorId="1" shapeId="0" xr:uid="{B0CCA853-935C-44EB-83EE-CA6438EBAECC}">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0" authorId="1" shapeId="0" xr:uid="{928CCD36-20BB-4DCD-8B2A-C6151FFD4186}">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4" authorId="1" shapeId="0" xr:uid="{E42AF355-C2F9-440B-96E1-5A616CB4CC4F}">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18" authorId="1" shapeId="0" xr:uid="{6FFCE7B6-BEA8-4623-B485-0BCD024AB10C}">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22" authorId="1" shapeId="0" xr:uid="{44B0081E-E625-425C-9404-48F26A06D02C}">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26" authorId="1" shapeId="0" xr:uid="{A5EC74A0-6EFA-4939-BB92-75751A404C43}">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30" authorId="1" shapeId="0" xr:uid="{B14926D4-447F-4F06-B85C-98B3B0DF762D}">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36" authorId="1" shapeId="0" xr:uid="{9D822211-6937-43BF-B90A-677C80A293BA}">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40" authorId="1" shapeId="0" xr:uid="{A64AC3DB-77F7-4464-8E48-9730AED22D18}">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46" authorId="1" shapeId="0" xr:uid="{DB013610-7D67-4872-8425-70292017E193}">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U150" authorId="1" shapeId="0" xr:uid="{B7009DCB-B459-43E2-9371-B8C0B25E8937}">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 ref="V150" authorId="1" shapeId="0" xr:uid="{B536F052-D7DA-450E-9F69-06691B3AF740}">
      <text>
        <r>
          <rPr>
            <b/>
            <sz val="9"/>
            <color indexed="81"/>
            <rFont val="Segoe UI"/>
            <family val="2"/>
          </rPr>
          <t>Anja:</t>
        </r>
        <r>
          <rPr>
            <sz val="9"/>
            <color indexed="81"/>
            <rFont val="Segoe UI"/>
            <family val="2"/>
          </rPr>
          <t xml:space="preserve">
</t>
        </r>
        <r>
          <rPr>
            <b/>
            <sz val="9"/>
            <color indexed="81"/>
            <rFont val="Segoe UI"/>
            <family val="2"/>
          </rPr>
          <t>Zitat aus der angegebenen Quelle</t>
        </r>
        <r>
          <rPr>
            <sz val="9"/>
            <color indexed="81"/>
            <rFont val="Segoe UI"/>
            <family val="2"/>
          </rPr>
          <t xml:space="preserve">: Die Ästungsarbeiten sollten bis dahin alle 1–3 Jahre durchgeführt werden, am besten jährlich. Der
Arbeitsaufwand beläuft sich anfangs auf etwa 2–5 Minuten pro Baum. Später, wenn auch Teleskopscheren und Leitern benötigt werden, sollte mit 10–15 Minuten gerechnet werden. Generell gilt: Je öfter geästet wird, umso besser ist es für die Wertholz-Erziehung, und umso weniger Mühe machen die einzelnen Ästungsmaßnahmen </t>
        </r>
      </text>
    </comment>
  </commentList>
</comments>
</file>

<file path=xl/sharedStrings.xml><?xml version="1.0" encoding="utf-8"?>
<sst xmlns="http://schemas.openxmlformats.org/spreadsheetml/2006/main" count="1977" uniqueCount="710">
  <si>
    <t>Lebensmittel</t>
  </si>
  <si>
    <t>auswärts essen</t>
  </si>
  <si>
    <t>Kleidung</t>
  </si>
  <si>
    <t>Transport</t>
  </si>
  <si>
    <t>Freizeit</t>
  </si>
  <si>
    <t>Bildung</t>
  </si>
  <si>
    <t>Oktober</t>
  </si>
  <si>
    <t>November</t>
  </si>
  <si>
    <t>Dezember</t>
  </si>
  <si>
    <t>Januar</t>
  </si>
  <si>
    <t>März</t>
  </si>
  <si>
    <t>April</t>
  </si>
  <si>
    <t>?</t>
  </si>
  <si>
    <t>Mai</t>
  </si>
  <si>
    <t>Juni</t>
  </si>
  <si>
    <t>Juli</t>
  </si>
  <si>
    <t>August</t>
  </si>
  <si>
    <t>September</t>
  </si>
  <si>
    <t>Februar</t>
  </si>
  <si>
    <t>TOTAL</t>
  </si>
  <si>
    <t>Hygiene/Kosmetik</t>
  </si>
  <si>
    <t>01.01.</t>
  </si>
  <si>
    <t>02.01.</t>
  </si>
  <si>
    <t>03.01.</t>
  </si>
  <si>
    <t>04.01.</t>
  </si>
  <si>
    <t>05.01.</t>
  </si>
  <si>
    <t>06.01.</t>
  </si>
  <si>
    <t>07.01.</t>
  </si>
  <si>
    <t>08.01.</t>
  </si>
  <si>
    <t>09.01.</t>
  </si>
  <si>
    <t>10.01.</t>
  </si>
  <si>
    <t>12.01.</t>
  </si>
  <si>
    <t>11.01.</t>
  </si>
  <si>
    <t>13.01.</t>
  </si>
  <si>
    <t>14.01.</t>
  </si>
  <si>
    <t>15.01.</t>
  </si>
  <si>
    <t>16.01.</t>
  </si>
  <si>
    <t>17.01.</t>
  </si>
  <si>
    <t>18.01.</t>
  </si>
  <si>
    <t>19.01.</t>
  </si>
  <si>
    <t>20.01.</t>
  </si>
  <si>
    <t>21.01.</t>
  </si>
  <si>
    <t>22.01.</t>
  </si>
  <si>
    <t>23.01.</t>
  </si>
  <si>
    <t>24.01.</t>
  </si>
  <si>
    <t>25.01.</t>
  </si>
  <si>
    <t>26.01.</t>
  </si>
  <si>
    <t>27.01.</t>
  </si>
  <si>
    <t>28.01.</t>
  </si>
  <si>
    <t>29.01.</t>
  </si>
  <si>
    <t>30.01.</t>
  </si>
  <si>
    <t>31.01.</t>
  </si>
  <si>
    <t>Gesamt</t>
  </si>
  <si>
    <t xml:space="preserve"> </t>
  </si>
  <si>
    <t>30.04.</t>
  </si>
  <si>
    <t>28.02.</t>
  </si>
  <si>
    <t>27.02.</t>
  </si>
  <si>
    <t>01.02.</t>
  </si>
  <si>
    <t>02.02.</t>
  </si>
  <si>
    <t>03.02.</t>
  </si>
  <si>
    <t>04.02.</t>
  </si>
  <si>
    <t>05.02.</t>
  </si>
  <si>
    <t>06.02.</t>
  </si>
  <si>
    <t>07.02.</t>
  </si>
  <si>
    <t>08.02.</t>
  </si>
  <si>
    <t>09.02.</t>
  </si>
  <si>
    <t>10.02.</t>
  </si>
  <si>
    <t>11.02.</t>
  </si>
  <si>
    <t>12.02.</t>
  </si>
  <si>
    <t>13.02.</t>
  </si>
  <si>
    <t>14.02.</t>
  </si>
  <si>
    <t>15.02.</t>
  </si>
  <si>
    <t>16.02.</t>
  </si>
  <si>
    <t>17.02.</t>
  </si>
  <si>
    <t>18.02.</t>
  </si>
  <si>
    <t>19.02.</t>
  </si>
  <si>
    <t>20.02.</t>
  </si>
  <si>
    <t>21.02.</t>
  </si>
  <si>
    <t>22.02.</t>
  </si>
  <si>
    <t>23.02.</t>
  </si>
  <si>
    <t>24.02.</t>
  </si>
  <si>
    <t>25.02.</t>
  </si>
  <si>
    <t>26.02.</t>
  </si>
  <si>
    <t>01.03.</t>
  </si>
  <si>
    <t>02.03.</t>
  </si>
  <si>
    <t>03.03.</t>
  </si>
  <si>
    <t>04.03.</t>
  </si>
  <si>
    <t>05.03.</t>
  </si>
  <si>
    <t>06.03.</t>
  </si>
  <si>
    <t>07.03.</t>
  </si>
  <si>
    <t>08.03.</t>
  </si>
  <si>
    <t>09.03.</t>
  </si>
  <si>
    <t>10.03.</t>
  </si>
  <si>
    <t>11.03.</t>
  </si>
  <si>
    <t>12.03.</t>
  </si>
  <si>
    <t>13.03.</t>
  </si>
  <si>
    <t>14.03.</t>
  </si>
  <si>
    <t>15.03.</t>
  </si>
  <si>
    <t>16.03.</t>
  </si>
  <si>
    <t>17.03.</t>
  </si>
  <si>
    <t>18.03.</t>
  </si>
  <si>
    <t>19.03.</t>
  </si>
  <si>
    <t>20.03.</t>
  </si>
  <si>
    <t>21.03.</t>
  </si>
  <si>
    <t>22.03.</t>
  </si>
  <si>
    <t>23.03.</t>
  </si>
  <si>
    <t>24.03.</t>
  </si>
  <si>
    <t>25.03.</t>
  </si>
  <si>
    <t>26.03.</t>
  </si>
  <si>
    <t>27.03.</t>
  </si>
  <si>
    <t>28.03.</t>
  </si>
  <si>
    <t>29.03.</t>
  </si>
  <si>
    <t>30.03.</t>
  </si>
  <si>
    <t>31.03.</t>
  </si>
  <si>
    <t>01.04.</t>
  </si>
  <si>
    <t>02.04.</t>
  </si>
  <si>
    <t>03.04.</t>
  </si>
  <si>
    <t>04.04.</t>
  </si>
  <si>
    <t>05.04.</t>
  </si>
  <si>
    <t>06.04.</t>
  </si>
  <si>
    <t>07.04.</t>
  </si>
  <si>
    <t>08.04.</t>
  </si>
  <si>
    <t>09.04.</t>
  </si>
  <si>
    <t>10.04.</t>
  </si>
  <si>
    <t>11.04.</t>
  </si>
  <si>
    <t>12.04.</t>
  </si>
  <si>
    <t>13.04.</t>
  </si>
  <si>
    <t>14.04.</t>
  </si>
  <si>
    <t>15.04.</t>
  </si>
  <si>
    <t>16.04.</t>
  </si>
  <si>
    <t>17.04.</t>
  </si>
  <si>
    <t>18.04.</t>
  </si>
  <si>
    <t>19.04.</t>
  </si>
  <si>
    <t>20.04.</t>
  </si>
  <si>
    <t>21.04.</t>
  </si>
  <si>
    <t>22.04.</t>
  </si>
  <si>
    <t>23.04.</t>
  </si>
  <si>
    <t>24.04.</t>
  </si>
  <si>
    <t>25.04.</t>
  </si>
  <si>
    <t>26.04.</t>
  </si>
  <si>
    <t>27.04.</t>
  </si>
  <si>
    <t>28.04.</t>
  </si>
  <si>
    <t>29.04.</t>
  </si>
  <si>
    <t>07.05.</t>
  </si>
  <si>
    <t>01.05.</t>
  </si>
  <si>
    <t>02.05.</t>
  </si>
  <si>
    <t>03.05.</t>
  </si>
  <si>
    <t>04.05.</t>
  </si>
  <si>
    <t>05.05.</t>
  </si>
  <si>
    <t>06.05.</t>
  </si>
  <si>
    <t>08.05.</t>
  </si>
  <si>
    <t>09.05.</t>
  </si>
  <si>
    <t>10.05.</t>
  </si>
  <si>
    <t>11.05.</t>
  </si>
  <si>
    <t>12.05.</t>
  </si>
  <si>
    <t>13.05.</t>
  </si>
  <si>
    <t>14.05.</t>
  </si>
  <si>
    <t>15.05.</t>
  </si>
  <si>
    <t>16.05.</t>
  </si>
  <si>
    <t>17.05.</t>
  </si>
  <si>
    <t>18.05.</t>
  </si>
  <si>
    <t>19.05.</t>
  </si>
  <si>
    <t>20.05.</t>
  </si>
  <si>
    <t>21.05.</t>
  </si>
  <si>
    <t>22.05.</t>
  </si>
  <si>
    <t>23.05.</t>
  </si>
  <si>
    <t>24.05.</t>
  </si>
  <si>
    <t>26.05.</t>
  </si>
  <si>
    <t>25.05.</t>
  </si>
  <si>
    <t>27.05.</t>
  </si>
  <si>
    <t>28.05.</t>
  </si>
  <si>
    <t>29.05.</t>
  </si>
  <si>
    <t>30.05.</t>
  </si>
  <si>
    <t>31.05.</t>
  </si>
  <si>
    <t>29.06.</t>
  </si>
  <si>
    <t>30.06.</t>
  </si>
  <si>
    <t>01.06.</t>
  </si>
  <si>
    <t>02.06.</t>
  </si>
  <si>
    <t>03.06.</t>
  </si>
  <si>
    <t>04.06.</t>
  </si>
  <si>
    <t>05.06.</t>
  </si>
  <si>
    <t>06.06.</t>
  </si>
  <si>
    <t>07.06.</t>
  </si>
  <si>
    <t>08.06.</t>
  </si>
  <si>
    <t>09.06.</t>
  </si>
  <si>
    <t>10.06.</t>
  </si>
  <si>
    <t>11.06.</t>
  </si>
  <si>
    <t>12.06.</t>
  </si>
  <si>
    <t>13.06.</t>
  </si>
  <si>
    <t>14.06.</t>
  </si>
  <si>
    <t>15.06.</t>
  </si>
  <si>
    <t>17.06.</t>
  </si>
  <si>
    <t>18.06.</t>
  </si>
  <si>
    <t>16.06.</t>
  </si>
  <si>
    <t>19.06.</t>
  </si>
  <si>
    <t>20.06.</t>
  </si>
  <si>
    <t>21.06.</t>
  </si>
  <si>
    <t>22.06.</t>
  </si>
  <si>
    <t>23.06.</t>
  </si>
  <si>
    <t>24.06.</t>
  </si>
  <si>
    <t>25.06.</t>
  </si>
  <si>
    <t>26.06.</t>
  </si>
  <si>
    <t>27.06.</t>
  </si>
  <si>
    <t>28.06.</t>
  </si>
  <si>
    <t>11.07.</t>
  </si>
  <si>
    <t>12.07.</t>
  </si>
  <si>
    <t>13.07.</t>
  </si>
  <si>
    <t>14.07.</t>
  </si>
  <si>
    <t>15.07.</t>
  </si>
  <si>
    <t>16.07.</t>
  </si>
  <si>
    <t>17.07.</t>
  </si>
  <si>
    <t>18.07.</t>
  </si>
  <si>
    <t>19.07.</t>
  </si>
  <si>
    <t>20.07.</t>
  </si>
  <si>
    <t>21.07.</t>
  </si>
  <si>
    <t>22.07.</t>
  </si>
  <si>
    <t>23.07.</t>
  </si>
  <si>
    <t>24.07.</t>
  </si>
  <si>
    <t>25.07.</t>
  </si>
  <si>
    <t>26.07.</t>
  </si>
  <si>
    <t>27.07.</t>
  </si>
  <si>
    <t>28.07.</t>
  </si>
  <si>
    <t>01.07.</t>
  </si>
  <si>
    <t>02.07.</t>
  </si>
  <si>
    <t>03.07.</t>
  </si>
  <si>
    <t>04.07.</t>
  </si>
  <si>
    <t>05.07.</t>
  </si>
  <si>
    <t>06.07.</t>
  </si>
  <si>
    <t>07.07.</t>
  </si>
  <si>
    <t>08.07.</t>
  </si>
  <si>
    <t>09.07.</t>
  </si>
  <si>
    <t>10.07.</t>
  </si>
  <si>
    <t>29.07.</t>
  </si>
  <si>
    <t>30.07.</t>
  </si>
  <si>
    <t>31.07.</t>
  </si>
  <si>
    <t>29.08.</t>
  </si>
  <si>
    <t>30.08.</t>
  </si>
  <si>
    <t>31.08.</t>
  </si>
  <si>
    <t>01.08.</t>
  </si>
  <si>
    <t>02.08.</t>
  </si>
  <si>
    <t>03.08.</t>
  </si>
  <si>
    <t>04.08.</t>
  </si>
  <si>
    <t>05.08.</t>
  </si>
  <si>
    <t>06.08.</t>
  </si>
  <si>
    <t>07.08.</t>
  </si>
  <si>
    <t>08.08.</t>
  </si>
  <si>
    <t>09.08.</t>
  </si>
  <si>
    <t>10.08.</t>
  </si>
  <si>
    <t>11.08.</t>
  </si>
  <si>
    <t>12.08.</t>
  </si>
  <si>
    <t>13.08.</t>
  </si>
  <si>
    <t>14.08.</t>
  </si>
  <si>
    <t>15.08.</t>
  </si>
  <si>
    <t>16.08.</t>
  </si>
  <si>
    <t>17.08.</t>
  </si>
  <si>
    <t>18.08.</t>
  </si>
  <si>
    <t>19.08.</t>
  </si>
  <si>
    <t>20.08.</t>
  </si>
  <si>
    <t>21.08.</t>
  </si>
  <si>
    <t>22.08.</t>
  </si>
  <si>
    <t>23.08.</t>
  </si>
  <si>
    <t>24.08.</t>
  </si>
  <si>
    <t>25.08.</t>
  </si>
  <si>
    <t>26.08.</t>
  </si>
  <si>
    <t>27.08.</t>
  </si>
  <si>
    <t>28.08.</t>
  </si>
  <si>
    <t>29.09.</t>
  </si>
  <si>
    <t>30.09.</t>
  </si>
  <si>
    <t>09.09.</t>
  </si>
  <si>
    <t>02.09.</t>
  </si>
  <si>
    <t>03.09.</t>
  </si>
  <si>
    <t>04.09.</t>
  </si>
  <si>
    <t>05.09.</t>
  </si>
  <si>
    <t>06.09.</t>
  </si>
  <si>
    <t>07.09.</t>
  </si>
  <si>
    <t>08.09.</t>
  </si>
  <si>
    <t>10.09.</t>
  </si>
  <si>
    <t>11.09.</t>
  </si>
  <si>
    <t>12.09.</t>
  </si>
  <si>
    <t>13.09.</t>
  </si>
  <si>
    <t>14.09.</t>
  </si>
  <si>
    <t>15.09.</t>
  </si>
  <si>
    <t>16.09.</t>
  </si>
  <si>
    <t>17.09.</t>
  </si>
  <si>
    <t>18.09.</t>
  </si>
  <si>
    <t>19.09.</t>
  </si>
  <si>
    <t>20.09.</t>
  </si>
  <si>
    <t>21.09.</t>
  </si>
  <si>
    <t>22.09.</t>
  </si>
  <si>
    <t>23.09.</t>
  </si>
  <si>
    <t>24.09.</t>
  </si>
  <si>
    <t>25.09.</t>
  </si>
  <si>
    <t>26.09.</t>
  </si>
  <si>
    <t>27.09.</t>
  </si>
  <si>
    <t>28.09.</t>
  </si>
  <si>
    <t>01.09.</t>
  </si>
  <si>
    <t>01.10.</t>
  </si>
  <si>
    <t>02.10.</t>
  </si>
  <si>
    <t>03.10.</t>
  </si>
  <si>
    <t>04.10.</t>
  </si>
  <si>
    <t>05.10.</t>
  </si>
  <si>
    <t>06.10.</t>
  </si>
  <si>
    <t>07.10.</t>
  </si>
  <si>
    <t>08.10.</t>
  </si>
  <si>
    <t>09.10.</t>
  </si>
  <si>
    <t>10.10.</t>
  </si>
  <si>
    <t>11.10.</t>
  </si>
  <si>
    <t>12.10.</t>
  </si>
  <si>
    <t>13.10.</t>
  </si>
  <si>
    <t>14.10.</t>
  </si>
  <si>
    <t>15.10.</t>
  </si>
  <si>
    <t>16.10.</t>
  </si>
  <si>
    <t>17.10.</t>
  </si>
  <si>
    <t>18.10.</t>
  </si>
  <si>
    <t>19.10.</t>
  </si>
  <si>
    <t>20.10.</t>
  </si>
  <si>
    <t>21.10.</t>
  </si>
  <si>
    <t>22.10.</t>
  </si>
  <si>
    <t>23.10.</t>
  </si>
  <si>
    <t>24.10.</t>
  </si>
  <si>
    <t>25.10.</t>
  </si>
  <si>
    <t>26.10.</t>
  </si>
  <si>
    <t>27.10.</t>
  </si>
  <si>
    <t>28.10.</t>
  </si>
  <si>
    <t>29.10.</t>
  </si>
  <si>
    <t>30.10.</t>
  </si>
  <si>
    <t>31.10.</t>
  </si>
  <si>
    <t>29.11.</t>
  </si>
  <si>
    <t>30.11.</t>
  </si>
  <si>
    <t>11.11.</t>
  </si>
  <si>
    <t>02.11.</t>
  </si>
  <si>
    <t>03.11.</t>
  </si>
  <si>
    <t>04.11.</t>
  </si>
  <si>
    <t>05.11.</t>
  </si>
  <si>
    <t>06.11.</t>
  </si>
  <si>
    <t>07.11.</t>
  </si>
  <si>
    <t>08.11.</t>
  </si>
  <si>
    <t>09.11.</t>
  </si>
  <si>
    <t>10.11.</t>
  </si>
  <si>
    <t>12.11.</t>
  </si>
  <si>
    <t>13.11.</t>
  </si>
  <si>
    <t>14.11.</t>
  </si>
  <si>
    <t>15.11.</t>
  </si>
  <si>
    <t>16.11.</t>
  </si>
  <si>
    <t>17.11.</t>
  </si>
  <si>
    <t>18.11.</t>
  </si>
  <si>
    <t>19.11.</t>
  </si>
  <si>
    <t>20.11.</t>
  </si>
  <si>
    <t>21.11.</t>
  </si>
  <si>
    <t>22.11.</t>
  </si>
  <si>
    <t>23.11.</t>
  </si>
  <si>
    <t>24.11.</t>
  </si>
  <si>
    <t>25.11.</t>
  </si>
  <si>
    <t>26.11.</t>
  </si>
  <si>
    <t>27.11.</t>
  </si>
  <si>
    <t>28.11.</t>
  </si>
  <si>
    <t>01.11.</t>
  </si>
  <si>
    <t>29.12.</t>
  </si>
  <si>
    <t>30.12.</t>
  </si>
  <si>
    <t>31.12.</t>
  </si>
  <si>
    <t>01.12.</t>
  </si>
  <si>
    <t>02.12.</t>
  </si>
  <si>
    <t>03.12.</t>
  </si>
  <si>
    <t>04.12.</t>
  </si>
  <si>
    <t>05.12.</t>
  </si>
  <si>
    <t>06.12.</t>
  </si>
  <si>
    <t>07.12.</t>
  </si>
  <si>
    <t>08.12.</t>
  </si>
  <si>
    <t>09.12.</t>
  </si>
  <si>
    <t>10.12.</t>
  </si>
  <si>
    <t>11.12.</t>
  </si>
  <si>
    <t>12.12.</t>
  </si>
  <si>
    <t>13.12.</t>
  </si>
  <si>
    <t>14.12.</t>
  </si>
  <si>
    <t>15.12.</t>
  </si>
  <si>
    <t>16.12.</t>
  </si>
  <si>
    <t>17.12.</t>
  </si>
  <si>
    <t>18.12.</t>
  </si>
  <si>
    <t>19.12.</t>
  </si>
  <si>
    <t>20.12.</t>
  </si>
  <si>
    <t>21.12.</t>
  </si>
  <si>
    <t>22.12.</t>
  </si>
  <si>
    <t>23.12.</t>
  </si>
  <si>
    <t>24.12.</t>
  </si>
  <si>
    <t>25.12.</t>
  </si>
  <si>
    <t>26.12.</t>
  </si>
  <si>
    <t>27.12.</t>
  </si>
  <si>
    <t>28.12.</t>
  </si>
  <si>
    <t>Sonstiges</t>
  </si>
  <si>
    <t>Jahr</t>
  </si>
  <si>
    <t>Abzinsfaktor</t>
  </si>
  <si>
    <t>Kapitalwert:</t>
  </si>
  <si>
    <t>Zinssatz:</t>
  </si>
  <si>
    <t>Annuität:</t>
  </si>
  <si>
    <t>Summe</t>
  </si>
  <si>
    <t>Arbeitskräfte &amp; Arbeitszeit</t>
  </si>
  <si>
    <t>Betriebsmittel</t>
  </si>
  <si>
    <t>Datum</t>
  </si>
  <si>
    <t>Planungsgespräch</t>
  </si>
  <si>
    <t>PC (Web-Meeting)</t>
  </si>
  <si>
    <t>selbstgezeichnete Karte</t>
  </si>
  <si>
    <t>Planungsskizzen</t>
  </si>
  <si>
    <t>Auswahl der Pflanzen</t>
  </si>
  <si>
    <t>PC, Telefon</t>
  </si>
  <si>
    <t>Auswahl und Bestellung der Pflanzen</t>
  </si>
  <si>
    <t>Hybridpappeln</t>
  </si>
  <si>
    <t>Bodenbearbeitung</t>
  </si>
  <si>
    <t>Tiefenlockerung: Lockerung möglicher Verdichtungen für einen besseren Anwuchs der Pflanzen</t>
  </si>
  <si>
    <t>Einmessen</t>
  </si>
  <si>
    <t>Knickdurchbruch einmessen, um die Planung zu überprüfen.</t>
  </si>
  <si>
    <t>Farbspray, Robinien-Stäbe (120cm)</t>
  </si>
  <si>
    <t>GPS-Einmessen und GIS Planung.</t>
  </si>
  <si>
    <t>GPS Messgerät, PC (GIS-Planung)</t>
  </si>
  <si>
    <t>Grubbern</t>
  </si>
  <si>
    <t>Flach grubbern vor der Pflanzung, um den Boden zu lockern und Beikräuter zu regulieren.</t>
  </si>
  <si>
    <t>Fendt Vario; Grubber</t>
  </si>
  <si>
    <t>Pflanzung</t>
  </si>
  <si>
    <t>Mulchen</t>
  </si>
  <si>
    <t>Silagegrünschnitt</t>
  </si>
  <si>
    <t>400 kg</t>
  </si>
  <si>
    <t>Schubkarre, Handschuhe, Drahtschere</t>
  </si>
  <si>
    <t>Bewässerung</t>
  </si>
  <si>
    <t>Wasserverbrauch</t>
  </si>
  <si>
    <t>600 L</t>
  </si>
  <si>
    <t>Astschere, Rosenschere</t>
  </si>
  <si>
    <t>70€/h Kosten</t>
  </si>
  <si>
    <t>Modell- und Demonstrationsvorhaben für die Planung und Etablierung von Agroforstsystemen in Schleswig-Holstein</t>
  </si>
  <si>
    <t>Arbeitszeitaufwand und Direktkosten: 2 Windschutzstreifen (insg. 192 m Länge), Rieckens Eichhof</t>
  </si>
  <si>
    <t>Festlegen der Pflanzabstände, der Breite des Gehölzstreifens, der Baumauswahl und der Optionen für den Knickdurchbruck</t>
  </si>
  <si>
    <t>Finale Auswahl der Pflanzen. Recherchen und Telefonate mit Baumschulen.</t>
  </si>
  <si>
    <t>Abschluss der Baumschulrecherche. Bestellvorgang.</t>
  </si>
  <si>
    <t>Sorten: Marke, Bakan, Skado, Matrix II. 90 cm Ruten</t>
  </si>
  <si>
    <t>Versandkosten Pappeln</t>
  </si>
  <si>
    <t>Anzahl</t>
  </si>
  <si>
    <t>2-jährig, 30-50 cm. Gesamte Bestellung (für weitere Flächen) umfasst 172 Bäume, € 417,96</t>
  </si>
  <si>
    <t>Baumschutz: Mobiler Steckzaun mit drei Litzen, doppelt gezogen</t>
  </si>
  <si>
    <t>Eichhof</t>
  </si>
  <si>
    <t>400 m</t>
  </si>
  <si>
    <t>Baumschutz: Hasendraht als Einzelbaumschutz</t>
  </si>
  <si>
    <t>Baumschutz: Weidezaunpfähle mobil</t>
  </si>
  <si>
    <t>Mobile Weidezaunpfähle, 105 cm Länge, 1,31 € pro Stück, alle 5 m.</t>
  </si>
  <si>
    <t>Die Standortanalyse wurde für die drei neuen Agroforstsysteme gleichzeitig besprochen (ein Drittel der Gesamtzeit)</t>
  </si>
  <si>
    <t>Maßbände, Stäbe, Farbspray</t>
  </si>
  <si>
    <t>Quellen</t>
  </si>
  <si>
    <t>Eichhof, Baumarktpreise für Baustellen-Markierfarbe</t>
  </si>
  <si>
    <t>1 Spray</t>
  </si>
  <si>
    <t>Bestellung (Kosten)</t>
  </si>
  <si>
    <t>Direktkosten</t>
  </si>
  <si>
    <t>Summe Auszahlungen</t>
  </si>
  <si>
    <t>Summe Einzahlungen</t>
  </si>
  <si>
    <t>Planung</t>
  </si>
  <si>
    <t>Pflege</t>
  </si>
  <si>
    <t>Ernte</t>
  </si>
  <si>
    <t>Pflanzmaschine: Anfahrt &amp; Logistik</t>
  </si>
  <si>
    <t>Pflanzkosten (150 €/h, 1,8 h)</t>
  </si>
  <si>
    <t>1,7 h</t>
  </si>
  <si>
    <t>Trecker mit Frontlader; Futtermischwagen</t>
  </si>
  <si>
    <t>Hasendraht verzinkt, Handschuhe; Zaunmaterialien (s. Planung)</t>
  </si>
  <si>
    <t>Baumschutz befestigen</t>
  </si>
  <si>
    <t>Einzelbaumschutz und mobilen Baumschutz anbringen</t>
  </si>
  <si>
    <t>Baumschutz kontrollieren und nachbessern</t>
  </si>
  <si>
    <t>Baumschutz</t>
  </si>
  <si>
    <t>15 min Kontrolle, 10 min Nachbessern</t>
  </si>
  <si>
    <t xml:space="preserve">Anmerkungen </t>
  </si>
  <si>
    <r>
      <t xml:space="preserve">Lohnkosten </t>
    </r>
    <r>
      <rPr>
        <sz val="12"/>
        <color rgb="FF3333CC"/>
        <rFont val="Calibri"/>
        <family val="2"/>
        <scheme val="minor"/>
      </rPr>
      <t>(kalkulatorischer Lohnansatz: € 22)</t>
    </r>
  </si>
  <si>
    <r>
      <t xml:space="preserve">Lohnkosten </t>
    </r>
    <r>
      <rPr>
        <sz val="12"/>
        <color rgb="FF3333CC"/>
        <rFont val="Calibri"/>
        <family val="2"/>
        <scheme val="minor"/>
      </rPr>
      <t>(kalkulatorischer Lohnansatz: € 13,9)</t>
    </r>
  </si>
  <si>
    <t>Maschinenkosten</t>
  </si>
  <si>
    <t xml:space="preserve">Beschreibung der Tätigkeit </t>
  </si>
  <si>
    <t>2-jährig, 50-80 cm (keine Versandkosten)</t>
  </si>
  <si>
    <t xml:space="preserve">2-jährig, 50-80 cm (keine Versandkosten) </t>
  </si>
  <si>
    <t>Feuerverzinktes Drahtgitter, 0,56€/Stk Brutto. Aus vorhandenen Betriebsmitteln. Hasendraht: 1 Rolle mit 1 m x 10 m --&gt; 1 Schutz á 25 cm x 50 cm entspricht 80 Hasendrähten aus 10 m Rolle.
Der Hasendraht wird ca. 2 cm in den Boden eingedreht für stabilen Halt, es sind keine weiteren Hilfsmittel notwendig.
Anzahl: ohne Pappeln, da diese am Standort erfahrungsgemäß in Ruhe gelassen werden.</t>
  </si>
  <si>
    <t>VOSS.farming Weidezaunlitze 400 m, 3x 0,25 Kupfer und 3x 0,20 Niro, weiß</t>
  </si>
  <si>
    <t>Anzahl der beteiligten Hilfskräfte</t>
  </si>
  <si>
    <t>Anzahl der beteiligten Fachkräfte</t>
  </si>
  <si>
    <t>Arbeitsschritt wurde ausgeführt</t>
  </si>
  <si>
    <t>Arbeitsschritt ist geplant</t>
  </si>
  <si>
    <r>
      <t>Fachkraft</t>
    </r>
    <r>
      <rPr>
        <sz val="12"/>
        <rFont val="Calibri"/>
        <family val="2"/>
        <scheme val="minor"/>
      </rPr>
      <t xml:space="preserve"> - kalkulatorischer Lohnansatz in €:</t>
    </r>
  </si>
  <si>
    <r>
      <t>Hilfskraft</t>
    </r>
    <r>
      <rPr>
        <sz val="12"/>
        <rFont val="Calibri"/>
        <family val="2"/>
        <scheme val="minor"/>
      </rPr>
      <t xml:space="preserve"> - kalkulatorischer Lohnansatz in €:</t>
    </r>
  </si>
  <si>
    <t xml:space="preserve">Rüstzeit ca. 15 min </t>
  </si>
  <si>
    <t xml:space="preserve">Rüstzeit: 15 min </t>
  </si>
  <si>
    <t>Ausfallquote 4 % (~15 Pflanzen), händisches Nachpflanzen</t>
  </si>
  <si>
    <t>Netto-Preise</t>
  </si>
  <si>
    <r>
      <rPr>
        <u/>
        <sz val="11"/>
        <rFont val="Calibri"/>
        <family val="2"/>
        <scheme val="minor"/>
      </rPr>
      <t>Eichhof</t>
    </r>
    <r>
      <rPr>
        <sz val="11"/>
        <rFont val="Calibri"/>
        <family val="2"/>
        <scheme val="minor"/>
      </rPr>
      <t>: Leihkosten der Pflanzmaschine inkl. 1er Fachkraft € 150 / h.</t>
    </r>
  </si>
  <si>
    <t>15 min Kontrolle, 10 min Nachbessern, 15 min Rückschnitt</t>
  </si>
  <si>
    <t>Da es ein robustes System mit robusten Pflanzen (Hasel,Pappel und Holunder) ist, genügt eine einmalige Kontrolle des Baumschutzes pro Jahr.</t>
  </si>
  <si>
    <t xml:space="preserve">Rüstzeit (inkl. Anmischen) ca. 45 min </t>
  </si>
  <si>
    <t>Pflanzmaschine Ligno-Planter R</t>
  </si>
  <si>
    <t>Kontrollgänge</t>
  </si>
  <si>
    <t>Baumschutz kontrollieren und ggf. nachbessern. Steht der Zaun noch stabil und führt Strom?  Holunder zurückschneiden, falls zu wüchsig</t>
  </si>
  <si>
    <t>Knickrodung</t>
  </si>
  <si>
    <t>Mit Astschere</t>
  </si>
  <si>
    <t>Aufasten der Pappeln und Eichen</t>
  </si>
  <si>
    <t>Mit Astschere. Entfernung der unteren Äste; freihalten der Begleitgehölze</t>
  </si>
  <si>
    <t>Astschere</t>
  </si>
  <si>
    <t>Entfernen des Hasendrahts mit einer Drahtschere.</t>
  </si>
  <si>
    <t>Steht der Zaun noch stabil und führt Strom?  Holunder zurückschneiden, falls zu wüchsig</t>
  </si>
  <si>
    <t>Ab 5 Jahren kann auf eine Litze reduziert werden, damit Kälbchen ggf. grasen können, aber weiterhin Schutz besteht vor Rindern.</t>
  </si>
  <si>
    <t>Mit Astschere.</t>
  </si>
  <si>
    <t xml:space="preserve">Steht der Zaun noch stabil und führt Strom? </t>
  </si>
  <si>
    <t>Mit Astschere / Teleskopschere</t>
  </si>
  <si>
    <t>Astschere, Teleskopschere</t>
  </si>
  <si>
    <t>Mit zunehmender Baumhöhe zunehmend aufwändiger</t>
  </si>
  <si>
    <t>Agroforstsysteme zur Wertholzerzeugung</t>
  </si>
  <si>
    <t>Astschere, Teleskopschere, ggf Leiter</t>
  </si>
  <si>
    <t>Circa 8 min pro Baum, inklusive Rüstzeit (60 Pappeln, 54 Eichen)</t>
  </si>
  <si>
    <t>Circa 10 min pro Baum, inklusive Rüstzeit (54 Eichen)</t>
  </si>
  <si>
    <t>s.o.</t>
  </si>
  <si>
    <t>Stammholzernte (Pappeln)</t>
  </si>
  <si>
    <t>mobiles Sägewerk aus der Region (Preetz)</t>
  </si>
  <si>
    <t>30 min / Baum (KTBL-Handreichung, S.18)</t>
  </si>
  <si>
    <t>Erlöse</t>
  </si>
  <si>
    <t xml:space="preserve">Durchschnittlicher BHD-Zuwachs in AFS: 2,5 cm /Jahr </t>
  </si>
  <si>
    <t>Durchschnittlicher Preis 2018-2025: ~85 €/FM</t>
  </si>
  <si>
    <t>3% jährlicher Preiszuwachs</t>
  </si>
  <si>
    <t>für 20 Pappeln</t>
  </si>
  <si>
    <t>pro Festmeter (3% jährlicher Preiszuwachs)</t>
  </si>
  <si>
    <t>Erlöse aus Pappelwertholz</t>
  </si>
  <si>
    <t>Ansatz 1: Laubheu als Heuersatz</t>
  </si>
  <si>
    <t xml:space="preserve">Holunder: </t>
  </si>
  <si>
    <t xml:space="preserve">10% Aufschlag für Heu in BioQualität (Annahme): = 155 € / t </t>
  </si>
  <si>
    <t>18 Pflanzen, wird hier wie Holunder behandelt</t>
  </si>
  <si>
    <t>Eichhof, KTBL-Handreichung (Weckenbrock, 2025)</t>
  </si>
  <si>
    <t>Eichhof, Mobiles Sägewerk in Preetz</t>
  </si>
  <si>
    <t>Betrachtungszeitraum:</t>
  </si>
  <si>
    <r>
      <rPr>
        <b/>
        <sz val="11"/>
        <rFont val="Calibri"/>
        <family val="2"/>
        <scheme val="minor"/>
      </rPr>
      <t>Motormanuelle Ernte</t>
    </r>
    <r>
      <rPr>
        <sz val="11"/>
        <rFont val="Calibri"/>
        <family val="2"/>
        <scheme val="minor"/>
      </rPr>
      <t>; Ablage (maschinell) am  Feldrand. Transport zum Lagerplatz, eigenes Aufsägen und Nutzung auf dem Betrieb als Baustoffe (anstelle Neukauf)</t>
    </r>
  </si>
  <si>
    <t>30 min pro Baum, 100 Pappelbäume</t>
  </si>
  <si>
    <t>Quelle: https://www.lksh.de/fileadmin/PDFs/Landwirtschaft/Markt/Kalk_tier_25_26.pdf</t>
  </si>
  <si>
    <t>Ansatz 2: Als Ergänzung zur extensiven Weide</t>
  </si>
  <si>
    <r>
      <t xml:space="preserve">Mulchen mit Silagegrünschnitt: </t>
    </r>
    <r>
      <rPr>
        <sz val="12"/>
        <rFont val="Calibri"/>
        <family val="2"/>
        <scheme val="minor"/>
      </rPr>
      <t>Mit dem Frontlader Silagemulch im Futtermischwagen mischen und zerkleinern, dann mit dem Einstreugebläse des Futtermischwagens ausbringen. 1 Person macht Baumstamm wieder frei.</t>
    </r>
  </si>
  <si>
    <r>
      <t>Stieleiche (</t>
    </r>
    <r>
      <rPr>
        <i/>
        <sz val="11"/>
        <rFont val="Calibri"/>
        <family val="2"/>
        <scheme val="minor"/>
      </rPr>
      <t>Quercus robur</t>
    </r>
    <r>
      <rPr>
        <sz val="12"/>
        <rFont val="Calibri"/>
        <family val="2"/>
        <scheme val="minor"/>
      </rPr>
      <t>)</t>
    </r>
  </si>
  <si>
    <r>
      <t>Gemeine Hasel (</t>
    </r>
    <r>
      <rPr>
        <i/>
        <sz val="11"/>
        <rFont val="Calibri"/>
        <family val="2"/>
        <scheme val="minor"/>
      </rPr>
      <t>Corylus avellana</t>
    </r>
    <r>
      <rPr>
        <sz val="12"/>
        <rFont val="Calibri"/>
        <family val="2"/>
        <scheme val="minor"/>
      </rPr>
      <t>)</t>
    </r>
  </si>
  <si>
    <r>
      <t>Schwarzer Maulbeerbaum (</t>
    </r>
    <r>
      <rPr>
        <i/>
        <sz val="11"/>
        <rFont val="Calibri"/>
        <family val="2"/>
        <scheme val="minor"/>
      </rPr>
      <t>Morus nigra</t>
    </r>
    <r>
      <rPr>
        <sz val="12"/>
        <rFont val="Calibri"/>
        <family val="2"/>
        <scheme val="minor"/>
      </rPr>
      <t>)</t>
    </r>
  </si>
  <si>
    <r>
      <t xml:space="preserve">anteilige Frachtkosten </t>
    </r>
    <r>
      <rPr>
        <i/>
        <sz val="11"/>
        <rFont val="Calibri"/>
        <family val="2"/>
        <scheme val="minor"/>
      </rPr>
      <t>Morus nigra</t>
    </r>
  </si>
  <si>
    <r>
      <t xml:space="preserve">Planungsziele schärfen und </t>
    </r>
    <r>
      <rPr>
        <sz val="12"/>
        <rFont val="Calibri"/>
        <family val="2"/>
        <scheme val="minor"/>
      </rPr>
      <t>neue Ideen besprechen: Welchen Zweck soll das Agroforstsystem erfüllen? Design? Artenauswahl und Baumschutz besprechen</t>
    </r>
  </si>
  <si>
    <r>
      <t xml:space="preserve">Planung: </t>
    </r>
    <r>
      <rPr>
        <sz val="12"/>
        <rFont val="Calibri"/>
        <family val="2"/>
        <scheme val="minor"/>
      </rPr>
      <t>Erkenntnisse der Standortanalyse besprechen</t>
    </r>
  </si>
  <si>
    <r>
      <rPr>
        <u/>
        <sz val="11"/>
        <rFont val="Calibri"/>
        <family val="2"/>
        <scheme val="minor"/>
      </rPr>
      <t>Nettopreise Stand 08/2026</t>
    </r>
    <r>
      <rPr>
        <sz val="11"/>
        <rFont val="Calibri"/>
        <family val="2"/>
        <scheme val="minor"/>
      </rPr>
      <t xml:space="preserve">: Lohnschnitt inkl. Benzin 70 €/h; Rüstzeit € 30 / Einsatz; An- &amp; Abfahrt: 1 €/km
</t>
    </r>
    <r>
      <rPr>
        <u/>
        <sz val="11"/>
        <rFont val="Calibri"/>
        <family val="2"/>
        <scheme val="minor"/>
      </rPr>
      <t>Berechnung</t>
    </r>
    <r>
      <rPr>
        <sz val="11"/>
        <rFont val="Calibri"/>
        <family val="2"/>
        <scheme val="minor"/>
      </rPr>
      <t xml:space="preserve">: 20 Bäume je 30 min = 10 h (verteilt auf 2 Tage) = 700 €
Rüstzeit: 2 x 30 € = € 60
An- und Abfahrt: 10 km je Fahrt = 40€
</t>
    </r>
    <r>
      <rPr>
        <b/>
        <sz val="11"/>
        <rFont val="Calibri"/>
        <family val="2"/>
        <scheme val="minor"/>
      </rPr>
      <t>Insgesamt: 800 €</t>
    </r>
    <r>
      <rPr>
        <sz val="11"/>
        <rFont val="Calibri"/>
        <family val="2"/>
        <scheme val="minor"/>
      </rPr>
      <t xml:space="preserve">
</t>
    </r>
    <r>
      <rPr>
        <b/>
        <sz val="11"/>
        <rFont val="Calibri"/>
        <family val="2"/>
        <scheme val="minor"/>
      </rPr>
      <t>Annahme: 3% jährlicher Preiszuwachs</t>
    </r>
  </si>
  <si>
    <r>
      <t xml:space="preserve">Stammholz: </t>
    </r>
    <r>
      <rPr>
        <b/>
        <sz val="11"/>
        <rFont val="Calibri"/>
        <family val="2"/>
        <scheme val="minor"/>
      </rPr>
      <t>Aufsägen</t>
    </r>
  </si>
  <si>
    <t>ALTERNATIVE zur Submission: Stammholz selber nutzen</t>
  </si>
  <si>
    <r>
      <rPr>
        <b/>
        <sz val="11"/>
        <rFont val="Calibri"/>
        <family val="2"/>
        <scheme val="minor"/>
      </rPr>
      <t xml:space="preserve">Arbeitszeit in min </t>
    </r>
    <r>
      <rPr>
        <sz val="11"/>
        <color rgb="FF0070C0"/>
        <rFont val="Calibri"/>
        <family val="2"/>
        <scheme val="minor"/>
      </rPr>
      <t>inklusive Rüst- und Wegezeiten; Wegezeit: 5 min pro Weg</t>
    </r>
  </si>
  <si>
    <r>
      <rPr>
        <b/>
        <sz val="11"/>
        <rFont val="Calibri"/>
        <family val="2"/>
        <scheme val="minor"/>
      </rPr>
      <t>Arbeitsstunden Fachkräfte</t>
    </r>
    <r>
      <rPr>
        <b/>
        <sz val="11"/>
        <color theme="1"/>
        <rFont val="Calibri"/>
        <family val="2"/>
        <scheme val="minor"/>
      </rPr>
      <t xml:space="preserve"> </t>
    </r>
    <r>
      <rPr>
        <sz val="11"/>
        <color rgb="FF0070C0"/>
        <rFont val="Calibri"/>
        <family val="2"/>
        <scheme val="minor"/>
      </rPr>
      <t>(Anzahl Arbeitskräfte * Arbeitszeit)</t>
    </r>
  </si>
  <si>
    <r>
      <rPr>
        <b/>
        <sz val="11"/>
        <rFont val="Calibri"/>
        <family val="2"/>
        <scheme val="minor"/>
      </rPr>
      <t>Arbeitsstunden Hilfskräfte</t>
    </r>
    <r>
      <rPr>
        <b/>
        <sz val="11"/>
        <color theme="1"/>
        <rFont val="Calibri"/>
        <family val="2"/>
        <scheme val="minor"/>
      </rPr>
      <t xml:space="preserve"> </t>
    </r>
    <r>
      <rPr>
        <sz val="11"/>
        <color rgb="FF0070C0"/>
        <rFont val="Calibri"/>
        <family val="2"/>
        <scheme val="minor"/>
      </rPr>
      <t>(Anzahl Arbeitskräfte * Arbeitszeit)</t>
    </r>
  </si>
  <si>
    <r>
      <rPr>
        <b/>
        <sz val="11"/>
        <rFont val="Calibri"/>
        <family val="2"/>
        <scheme val="minor"/>
      </rPr>
      <t>Anmerkungen</t>
    </r>
    <r>
      <rPr>
        <sz val="12"/>
        <color theme="1"/>
        <rFont val="Calibri"/>
        <family val="2"/>
        <scheme val="minor"/>
      </rPr>
      <t xml:space="preserve"> </t>
    </r>
    <r>
      <rPr>
        <sz val="11"/>
        <color rgb="FF0070C0"/>
        <rFont val="Calibri"/>
        <family val="2"/>
        <scheme val="minor"/>
      </rPr>
      <t>(z.B. unterschiedliche Arbeitszeiten/ Qualifikationen)</t>
    </r>
  </si>
  <si>
    <r>
      <rPr>
        <b/>
        <sz val="11"/>
        <rFont val="Calibri"/>
        <family val="2"/>
        <scheme val="minor"/>
      </rPr>
      <t>Eingesetzte Maschinen, Geräte</t>
    </r>
    <r>
      <rPr>
        <b/>
        <sz val="11"/>
        <color theme="1"/>
        <rFont val="Calibri"/>
        <family val="2"/>
        <scheme val="minor"/>
      </rPr>
      <t xml:space="preserve"> </t>
    </r>
    <r>
      <rPr>
        <sz val="11"/>
        <color rgb="FF0070C0"/>
        <rFont val="Calibri"/>
        <family val="2"/>
        <scheme val="minor"/>
      </rPr>
      <t>(Name, Typ, Größe und Funktion)</t>
    </r>
  </si>
  <si>
    <r>
      <rPr>
        <b/>
        <sz val="11"/>
        <rFont val="Calibri"/>
        <family val="2"/>
        <scheme val="minor"/>
      </rPr>
      <t>Betriebsmittel</t>
    </r>
    <r>
      <rPr>
        <b/>
        <sz val="11"/>
        <color theme="1"/>
        <rFont val="Calibri"/>
        <family val="2"/>
        <scheme val="minor"/>
      </rPr>
      <t xml:space="preserve"> </t>
    </r>
    <r>
      <rPr>
        <sz val="11"/>
        <color rgb="FF0070C0"/>
        <rFont val="Calibri"/>
        <family val="2"/>
        <scheme val="minor"/>
      </rPr>
      <t>(z.B. Pflanzgut, Wuchshüllen, Wasser, Mulch, Dünger,...)</t>
    </r>
  </si>
  <si>
    <r>
      <t xml:space="preserve">Einzahlungen </t>
    </r>
    <r>
      <rPr>
        <sz val="12"/>
        <rFont val="Calibri"/>
        <family val="2"/>
        <scheme val="minor"/>
      </rPr>
      <t>(Erlöse)</t>
    </r>
  </si>
  <si>
    <r>
      <t xml:space="preserve">Auszahlungen </t>
    </r>
    <r>
      <rPr>
        <sz val="12"/>
        <rFont val="Calibri"/>
        <family val="2"/>
        <scheme val="minor"/>
      </rPr>
      <t>(Investitionen)</t>
    </r>
  </si>
  <si>
    <r>
      <t xml:space="preserve">Netto-Cashflow </t>
    </r>
    <r>
      <rPr>
        <sz val="12"/>
        <rFont val="Calibri"/>
        <family val="2"/>
        <scheme val="minor"/>
      </rPr>
      <t>(Einzahlung minus Auszahlung)</t>
    </r>
  </si>
  <si>
    <r>
      <t xml:space="preserve">Barwert </t>
    </r>
    <r>
      <rPr>
        <sz val="12"/>
        <rFont val="Calibri"/>
        <family val="2"/>
        <scheme val="minor"/>
      </rPr>
      <t>(heutiger Wert einer zukünftigen Zahlung)</t>
    </r>
  </si>
  <si>
    <r>
      <rPr>
        <b/>
        <sz val="12"/>
        <rFont val="Calibri"/>
        <family val="2"/>
        <scheme val="minor"/>
      </rPr>
      <t>Annuität</t>
    </r>
    <r>
      <rPr>
        <sz val="12"/>
        <rFont val="Calibri"/>
        <family val="2"/>
        <scheme val="minor"/>
      </rPr>
      <t xml:space="preserve">= </t>
    </r>
    <r>
      <rPr>
        <b/>
        <sz val="12"/>
        <rFont val="Calibri"/>
        <family val="2"/>
        <scheme val="minor"/>
      </rPr>
      <t>Kapitalwert</t>
    </r>
    <r>
      <rPr>
        <sz val="12"/>
        <rFont val="Calibri"/>
        <family val="2"/>
        <scheme val="minor"/>
      </rPr>
      <t xml:space="preserve"> als gleichbleibender jährlicher Betrag</t>
    </r>
  </si>
  <si>
    <r>
      <t xml:space="preserve">Ein positiver </t>
    </r>
    <r>
      <rPr>
        <b/>
        <sz val="12"/>
        <rFont val="Calibri"/>
        <family val="2"/>
        <scheme val="minor"/>
      </rPr>
      <t>Kapitalwert</t>
    </r>
    <r>
      <rPr>
        <sz val="12"/>
        <rFont val="Calibri"/>
        <family val="2"/>
        <scheme val="minor"/>
      </rPr>
      <t xml:space="preserve"> bedeutet, dass das Projekt die geforderte Rendite von 4 % übersteigt; ein Kapitalwert von null bedeutet, dass es diesen Schwellenwert exakt erreicht.</t>
    </r>
  </si>
  <si>
    <r>
      <t xml:space="preserve">Die </t>
    </r>
    <r>
      <rPr>
        <b/>
        <sz val="12"/>
        <rFont val="Calibri"/>
        <family val="2"/>
        <scheme val="minor"/>
      </rPr>
      <t>Annuität</t>
    </r>
    <r>
      <rPr>
        <sz val="12"/>
        <rFont val="Calibri"/>
        <family val="2"/>
        <scheme val="minor"/>
      </rPr>
      <t xml:space="preserve"> wandelt den auf 25 Jahre berechneten Kapitalwert in einen gleichbleibenden Jahresbetrag für denselben Zeitraum um. Sie ist besonders hilfreich beim Vergleich von Agroforstsystemen, die sich hinsichtlich der Anlageform oder der Projektlaufzeit unterscheiden.</t>
    </r>
  </si>
  <si>
    <r>
      <t xml:space="preserve">Da Holunder erst nach 6-7 Jahren ausgewachsen ist: </t>
    </r>
    <r>
      <rPr>
        <b/>
        <sz val="12"/>
        <rFont val="Calibri"/>
        <family val="2"/>
        <scheme val="minor"/>
      </rPr>
      <t>~ 3 t TM pro ha und Jahr ab Jahr 7</t>
    </r>
    <r>
      <rPr>
        <sz val="12"/>
        <rFont val="Calibri"/>
        <family val="2"/>
        <scheme val="minor"/>
      </rPr>
      <t xml:space="preserve"> (ungedüngt)</t>
    </r>
  </si>
  <si>
    <t>Tätigkeit</t>
  </si>
  <si>
    <t>jährlich ab Jahr 7</t>
  </si>
  <si>
    <t>Güllewagen 10³; Trecker Fendt Farmer 110</t>
  </si>
  <si>
    <t xml:space="preserve">Güllewagen als Wassertank mit Schlauch mit Löchern zur Bewässerung/Beregnung. </t>
  </si>
  <si>
    <t>Rüstzeit ca. 30 min, davon 10 min zum volltanken</t>
  </si>
  <si>
    <t>Pflanzgut, Gehölze</t>
  </si>
  <si>
    <t>Spaten</t>
  </si>
  <si>
    <t>Nachpflanzen (falls relevant)</t>
  </si>
  <si>
    <t>Monetärer Wert extensiver Weide für Milchkühe: 14 € / dt TM &amp; Jahr</t>
  </si>
  <si>
    <t xml:space="preserve">Holunder &amp; Maulbeere: </t>
  </si>
  <si>
    <t>Maulbeere</t>
  </si>
  <si>
    <r>
      <t>Schwarzer Holunder (</t>
    </r>
    <r>
      <rPr>
        <i/>
        <sz val="11"/>
        <rFont val="Calibri"/>
        <family val="2"/>
        <scheme val="minor"/>
      </rPr>
      <t>Sambucus nigra</t>
    </r>
    <r>
      <rPr>
        <sz val="12"/>
        <rFont val="Calibri"/>
        <family val="2"/>
        <scheme val="minor"/>
      </rPr>
      <t>)</t>
    </r>
  </si>
  <si>
    <r>
      <t>Futterlauberlöse</t>
    </r>
    <r>
      <rPr>
        <sz val="12"/>
        <rFont val="Calibri"/>
        <family val="2"/>
        <scheme val="minor"/>
      </rPr>
      <t xml:space="preserve"> (Laut Leitfaden wird ab Jahr 5 geerntet)</t>
    </r>
  </si>
  <si>
    <r>
      <rPr>
        <sz val="12"/>
        <rFont val="Calibri"/>
        <family val="2"/>
        <scheme val="minor"/>
      </rPr>
      <t xml:space="preserve">Gibt es </t>
    </r>
    <r>
      <rPr>
        <b/>
        <sz val="12"/>
        <rFont val="Calibri"/>
        <family val="2"/>
        <scheme val="minor"/>
      </rPr>
      <t>neue Erkenntnisse</t>
    </r>
    <r>
      <rPr>
        <sz val="12"/>
        <rFont val="Calibri"/>
        <family val="2"/>
        <scheme val="minor"/>
      </rPr>
      <t xml:space="preserve"> zu den Futterlauberträgen von Holunder (</t>
    </r>
    <r>
      <rPr>
        <i/>
        <sz val="12"/>
        <rFont val="Calibri"/>
        <family val="2"/>
        <scheme val="minor"/>
      </rPr>
      <t>Sambucus nigra</t>
    </r>
    <r>
      <rPr>
        <sz val="12"/>
        <rFont val="Calibri"/>
        <family val="2"/>
        <scheme val="minor"/>
      </rPr>
      <t>) und Maulbeeren (</t>
    </r>
    <r>
      <rPr>
        <i/>
        <sz val="12"/>
        <rFont val="Calibri"/>
        <family val="2"/>
        <scheme val="minor"/>
      </rPr>
      <t>Morus nigra</t>
    </r>
    <r>
      <rPr>
        <sz val="12"/>
        <rFont val="Calibri"/>
        <family val="2"/>
        <scheme val="minor"/>
      </rPr>
      <t>)? Bitte an</t>
    </r>
    <r>
      <rPr>
        <sz val="12"/>
        <color theme="1"/>
        <rFont val="Calibri"/>
        <family val="2"/>
        <scheme val="minor"/>
      </rPr>
      <t xml:space="preserve"> </t>
    </r>
    <r>
      <rPr>
        <sz val="12"/>
        <color rgb="FF0070C0"/>
        <rFont val="Calibri"/>
        <family val="2"/>
        <scheme val="minor"/>
      </rPr>
      <t>oekonomie@defaf.de</t>
    </r>
    <r>
      <rPr>
        <sz val="12"/>
        <color theme="1"/>
        <rFont val="Calibri"/>
        <family val="2"/>
        <scheme val="minor"/>
      </rPr>
      <t xml:space="preserve"> </t>
    </r>
    <r>
      <rPr>
        <sz val="12"/>
        <rFont val="Calibri"/>
        <family val="2"/>
        <scheme val="minor"/>
      </rPr>
      <t xml:space="preserve">weiterleiten, um die </t>
    </r>
    <r>
      <rPr>
        <b/>
        <sz val="12"/>
        <rFont val="Calibri"/>
        <family val="2"/>
        <scheme val="minor"/>
      </rPr>
      <t>Berechnungen zu aktualisieren.</t>
    </r>
  </si>
  <si>
    <t>Gespräch mit der Unteren Naturschutzbehörde zu einem Knickdurchbruch: Neuanlage des Knicks an anderer Stelle. Möglichkeiten der Förderung und Anlage des neuen Knicks.</t>
  </si>
  <si>
    <t>Bestellung: 54 Stieleichen, 18 Gemeine Hasel, 100 Hybridpappeln, 18 Schwarzer Maulbeerbaum, 172 Schwarze Holunder</t>
  </si>
  <si>
    <t>Baustellen-Markierspray: keine ganze Flasche nötig, ca. 7 € pro 0,5 Liter.
8 Robinienstäbe: schon vorhanden, Stückpreis: 1,05 €. Nicht berechnet, da wiederverwendet. 
Selbst geschnittene Haselruten o.ä. hätten auch verwendet werden können.</t>
  </si>
  <si>
    <t>1 zusätzliche Fachkraft wird von der Pflanzfirma bereitgestellt.  
40 min Rüstzeit (Pflanzgut vorbereiten; Maschine einstellen &amp; vorbereiten).
Pflanzzeit: 200 Pflanzen/h.</t>
  </si>
  <si>
    <t xml:space="preserve">Beladen des Futtermischwagens mit Silagegrünschnitt (nicht futtergeeignete Silage). Wird zerkleinert und gemischt und entlang des Baumstreifens ausgebracht mit Gebläse/Förderband. Eine Person muss  mitgehen und die jungen Gehölze von zu viel Mulch befreien. Arbeitsgeschwindigkeit 2-3 km/h. </t>
  </si>
  <si>
    <t>Entfernen des Hasendrahts für die bessere Etablierung eines buschigen Wuchses der Pflanzen.</t>
  </si>
  <si>
    <t>Motormanuelle Ernte. Ablage maschinell am Feldrand. Dann aufsammeln,  Lagerung für eigenes Aufsägen; Nutzung auf dem Betrieb als Baustoff (anstelle Neukauf).</t>
  </si>
  <si>
    <t>Eichhof, Beraterteam</t>
  </si>
  <si>
    <r>
      <rPr>
        <u/>
        <sz val="11"/>
        <rFont val="Calibri"/>
        <family val="2"/>
        <scheme val="minor"/>
      </rPr>
      <t>Eichhof</t>
    </r>
    <r>
      <rPr>
        <sz val="11"/>
        <rFont val="Calibri"/>
        <family val="2"/>
        <scheme val="minor"/>
      </rPr>
      <t xml:space="preserve">: kostenloses Brunnenwasser. Das Güllefass hat eine Füllmenge von 10m³. Langsames Fahren mit 0,5km/h, mehrmaliges entlang fahren. </t>
    </r>
    <r>
      <rPr>
        <u/>
        <sz val="11"/>
        <rFont val="Calibri"/>
        <family val="2"/>
        <scheme val="minor"/>
      </rPr>
      <t>Beraterteam</t>
    </r>
    <r>
      <rPr>
        <sz val="11"/>
        <rFont val="Calibri"/>
        <family val="2"/>
        <scheme val="minor"/>
      </rPr>
      <t>: Kein weiteres Gießen geplant. Erfahrungswerte: Anwuchsgießen ist ausreichend.</t>
    </r>
  </si>
  <si>
    <r>
      <rPr>
        <u/>
        <sz val="11"/>
        <rFont val="Calibri"/>
        <family val="2"/>
        <scheme val="minor"/>
      </rPr>
      <t>Ausfallquote</t>
    </r>
    <r>
      <rPr>
        <sz val="11"/>
        <rFont val="Calibri"/>
        <family val="2"/>
        <scheme val="minor"/>
      </rPr>
      <t xml:space="preserve">: basiert auf bisherigen Erfahrungen (Eichhof, Beraterteam)
</t>
    </r>
    <r>
      <rPr>
        <u/>
        <sz val="11"/>
        <rFont val="Calibri"/>
        <family val="2"/>
        <scheme val="minor"/>
      </rPr>
      <t>Pflanzgut</t>
    </r>
    <r>
      <rPr>
        <sz val="11"/>
        <rFont val="Calibri"/>
        <family val="2"/>
        <scheme val="minor"/>
      </rPr>
      <t xml:space="preserve">: aus eigener Baumschule (übriggebliebenes Pflanzgut für eventuelle Nachpflanzungen)
</t>
    </r>
    <r>
      <rPr>
        <u/>
        <sz val="11"/>
        <rFont val="Calibri"/>
        <family val="2"/>
        <scheme val="minor"/>
      </rPr>
      <t>Pflanzgutkosten</t>
    </r>
    <r>
      <rPr>
        <sz val="11"/>
        <rFont val="Calibri"/>
        <family val="2"/>
        <scheme val="minor"/>
      </rPr>
      <t>: durchschnittlicher Stückpreis (Jahr 0)</t>
    </r>
  </si>
  <si>
    <r>
      <rPr>
        <u/>
        <sz val="11"/>
        <rFont val="Calibri"/>
        <family val="2"/>
        <scheme val="minor"/>
      </rPr>
      <t>Beraterteam</t>
    </r>
    <r>
      <rPr>
        <sz val="11"/>
        <rFont val="Calibri"/>
        <family val="2"/>
        <scheme val="minor"/>
      </rPr>
      <t xml:space="preserve">: Anfahrt &amp; Logistik der Pflanzmaschine werden pauschal berechnet (300 €); Pflanzumsatz  ca. 200 Pflanzen pro Stunde. 
</t>
    </r>
    <r>
      <rPr>
        <u/>
        <sz val="11"/>
        <rFont val="Calibri"/>
        <family val="2"/>
        <scheme val="minor"/>
      </rPr>
      <t>Eichhof</t>
    </r>
    <r>
      <rPr>
        <sz val="11"/>
        <rFont val="Calibri"/>
        <family val="2"/>
        <scheme val="minor"/>
      </rPr>
      <t>: Leihkosten der Pflanzmaschine inkl. 1er Fachkraft € 150 / h.</t>
    </r>
  </si>
  <si>
    <t>Trecker (Fendt Vario), Bremer Parallockerer</t>
  </si>
  <si>
    <t>17 €/h</t>
  </si>
  <si>
    <t xml:space="preserve">Pflanzmaschine Ligno-Planter R (geplant in Kombination mit einer Vorführung der Pflanzmaschine) </t>
  </si>
  <si>
    <t>27 €/h</t>
  </si>
  <si>
    <t>Der Arbeitsgang wurde für die drei neuen Agroforstsysteme gleichzeitig durchgeführt, anteilige Rüstzeit: 10 min</t>
  </si>
  <si>
    <t>40 €/h</t>
  </si>
  <si>
    <t xml:space="preserve"> Leihtrecker vom Nachbarn</t>
  </si>
  <si>
    <t>Trecker (Fendt Vario); Pflanzmaschine Ligno-Planter R</t>
  </si>
  <si>
    <t>Trecker (Fendt Favorit) mit Frontlader; Futtermischwagen</t>
  </si>
  <si>
    <t>27 €/h, 25 €/h</t>
  </si>
  <si>
    <t>Steht der Zaun noch stabil und führt Strom?</t>
  </si>
  <si>
    <t xml:space="preserve">Mit zunehmender Baumhöhe zunehmend aufwändiger </t>
  </si>
  <si>
    <t>Händisches Abgehen der Arbeitsbreite der Maschine (16m) und messen welche Bäume bestehen bleiben sollen. Einmessen der Fahrbreiten der Fläche und Diskussion über sinnvolle Durchfahrt finalisieren.</t>
  </si>
  <si>
    <t xml:space="preserve">Hinweise: </t>
  </si>
  <si>
    <t>Besonderheit:</t>
  </si>
  <si>
    <t>Planung Knickrodung</t>
  </si>
  <si>
    <t>Fällen: 2 Personen. Holz entfernen und Hackschnitzel erzeugen: 1 Person</t>
  </si>
  <si>
    <t>4 h Fällen der Gehölze.  2 h mit dem Kramer Holz auflesen, entfernen und Hackschnitzel erzeugen.</t>
  </si>
  <si>
    <t>Motorsägen, Kramer Teleskoplader</t>
  </si>
  <si>
    <t>35€/h</t>
  </si>
  <si>
    <t>Sonstige Kosten</t>
  </si>
  <si>
    <t>Genehmigung der Unteren Naturschtzbehörde für die Knickrodung</t>
  </si>
  <si>
    <t>Fräsen</t>
  </si>
  <si>
    <t>Fendt Favorit, Howard Fräse</t>
  </si>
  <si>
    <t>Fräsen für die Neuaussaat auf der gerodeten Fläche</t>
  </si>
  <si>
    <t>Neuaussaat</t>
  </si>
  <si>
    <t>30 min Rüstzeit</t>
  </si>
  <si>
    <t>Saatgut</t>
  </si>
  <si>
    <t>Kompost ausbringen</t>
  </si>
  <si>
    <t>Mit Futtermischwagen und Fendt</t>
  </si>
  <si>
    <t>40 min Rüstzeit</t>
  </si>
  <si>
    <t>Fendt, Futtermischwagen</t>
  </si>
  <si>
    <t>17 €/h, 25 € / h</t>
  </si>
  <si>
    <t xml:space="preserve">AOR (einfacher Grünschnittkompost) </t>
  </si>
  <si>
    <t>500 kg</t>
  </si>
  <si>
    <t>Umpflanzen und Neuanlage Knick</t>
  </si>
  <si>
    <t>Wurzelstöcke mit Kramer entfernen und umsetzen</t>
  </si>
  <si>
    <t>Knickrodung: 32 m; Neuanlage: 64 m</t>
  </si>
  <si>
    <t>Muttererde aufschütten auf den neuen Knick</t>
  </si>
  <si>
    <t>Einzäunung des Knicks</t>
  </si>
  <si>
    <t>Erde aufschütten</t>
  </si>
  <si>
    <t>Knickschutz</t>
  </si>
  <si>
    <t xml:space="preserve">Kramer Teleskoplader </t>
  </si>
  <si>
    <t>130 m</t>
  </si>
  <si>
    <t>Annahme: jährlicher Anstieg der Lohnkosten um 2%</t>
  </si>
  <si>
    <r>
      <rPr>
        <b/>
        <sz val="14"/>
        <rFont val="Calibri"/>
        <family val="2"/>
        <scheme val="minor"/>
      </rPr>
      <t>Ansatz 2</t>
    </r>
    <r>
      <rPr>
        <b/>
        <sz val="12"/>
        <rFont val="Calibri"/>
        <family val="2"/>
        <scheme val="minor"/>
      </rPr>
      <t xml:space="preserve"> wurde ausgewählt, da das Futterlaub im Hochsommer frisch zugefüttert werden soll</t>
    </r>
  </si>
  <si>
    <t>Holunder, Maulbeere (Monetärer Wert: s. Futterlauberlöse, Ansatz 2)</t>
  </si>
  <si>
    <t>Circa 2 min pro Baum, inklusive Rüstzeit (60 Pappeln, 54 Eichen)</t>
  </si>
  <si>
    <t>60 von 100 Pappeln werden zum Aufasten ausgewählt</t>
  </si>
  <si>
    <t>Circa 3 min pro Baum, inklusive Rüstzeit (60 Pappeln, 54 Eichen)</t>
  </si>
  <si>
    <t>Circa 4 min pro Baum, inklusive Rüstzeit (60 Pappeln, 54 Eichen)</t>
  </si>
  <si>
    <t>Circa 5 min pro Baum, inklusive Rüstzeit (60 Pappeln, 54 Eichen)</t>
  </si>
  <si>
    <t>Circa 6 min pro Baum, inklusive Rüstzeit (60 Pappeln, 54 Eichen)</t>
  </si>
  <si>
    <t>Circa 7 min pro Baum, inklusive Rüstzeit (60 Pappeln, 54 Eichen)</t>
  </si>
  <si>
    <t>Circa 8 min pro Baum, inklusive Rüstzeit (30 Pappeln, 54 Eichen)</t>
  </si>
  <si>
    <t>Futterlaub: Rückschnitt</t>
  </si>
  <si>
    <t>Jahr 4 bis 6</t>
  </si>
  <si>
    <t>(1) seitlicher Rinderfraß, gesamte Länge; (2) Höhenbegrenzung, Rückschnitt als Kopfbaum, 50% des Agroforststreifens</t>
  </si>
  <si>
    <t>20 min wöchentlich von Juni bis Juli (9 Wochen)</t>
  </si>
  <si>
    <t>Handsäge, Astschere</t>
  </si>
  <si>
    <t>Ernte von 20 Pappeln</t>
  </si>
  <si>
    <t>Motormanuelle Ernte; Ablage (maschinell) am  Feldrand/Lagerplatz mit Teleskoplader.</t>
  </si>
  <si>
    <t>Teleskoplader</t>
  </si>
  <si>
    <t>35 € /h</t>
  </si>
  <si>
    <t>Neues Windschutz-AFS, Rieckens Eichhof: mit Rodung und Neuanlage eines Knicks</t>
  </si>
  <si>
    <t>Neues Windschutz-AFS, Rieckens Eichhof: ohne die Rodung und Neuanlage eines Knicks</t>
  </si>
  <si>
    <t>Festlegen der Pflanzabstände, der Breite des Gehölzstreifens, der Baumauswahl</t>
  </si>
  <si>
    <t>Verkauf</t>
  </si>
  <si>
    <t>Ernte &amp; Verkauf auf Nachfrage und mit Abholung? Transport zur Submission Trappenkamp (30 km)?</t>
  </si>
  <si>
    <t>Rücstzeit: 30 min (anteilig 10 min)</t>
  </si>
  <si>
    <t>Der Arbeitsgang wurde für die drei neuen Agroforstsysteme gleichzeitig durchgeführt, deshalb eine anteilige Rüstzeit von 10 min</t>
  </si>
  <si>
    <t>Rücstzeit (3 AFS): 30 min</t>
  </si>
  <si>
    <t>Letzte offene Fragen</t>
  </si>
  <si>
    <t>s. Windschutzstreifen "mit Knick" - Input vom Eichhof hier übertragen</t>
  </si>
  <si>
    <r>
      <rPr>
        <u/>
        <sz val="12"/>
        <rFont val="Calibri"/>
        <family val="2"/>
        <scheme val="minor"/>
      </rPr>
      <t>Quelle:</t>
    </r>
    <r>
      <rPr>
        <u/>
        <sz val="12"/>
        <color theme="10"/>
        <rFont val="Calibri"/>
        <family val="2"/>
        <scheme val="minor"/>
      </rPr>
      <t xml:space="preserve"> </t>
    </r>
    <r>
      <rPr>
        <u/>
        <sz val="12"/>
        <color rgb="FF3333CC"/>
        <rFont val="Calibri"/>
        <family val="2"/>
        <scheme val="minor"/>
      </rPr>
      <t xml:space="preserve">https://agroforst-info.de/wp-content/uploads/2025/12/2025-DeFAF.KTBL-Handreichung_AFS.Ertraege.Teil1_Chalmin29.12.25.pdf </t>
    </r>
  </si>
  <si>
    <t xml:space="preserve">Die Standortanalyse wurde für die drei neuen Agroforstsysteme gleichzeitig besprochen (jeweils ein Drittel der Gesamtzeit). Standortanalyse: dafür wurden Bodenproben auf 30-40 cm Tiefe an ca. 6 unterschiedlichen Orten auf der Koppel  entnommen. Ziel: Gesamtüberblick über die Koppel - unterer Teil der Wiese (für die Obstgehölze), Hanglage (für das Futterlaub), windexponierte Hanglage (für die Windschutzhecke) &amp; windgeschützte Hanglage als Vergleich. </t>
  </si>
  <si>
    <t>Händische Aussaat einer Kräutermischung</t>
  </si>
  <si>
    <t>31 Euro pro m³</t>
  </si>
  <si>
    <t>Zeile 42: Bitte (ungefähre) Kosten ergänzen</t>
  </si>
  <si>
    <t>Mobilzaun mit drei  Litzen</t>
  </si>
  <si>
    <r>
      <t xml:space="preserve">Holunder, Maulbeere (Monetärer Wert: s. Futterlauberlöse, Ansatz 2). </t>
    </r>
    <r>
      <rPr>
        <u/>
        <sz val="11"/>
        <rFont val="Calibri"/>
        <family val="2"/>
        <scheme val="minor"/>
      </rPr>
      <t>Hinweis</t>
    </r>
    <r>
      <rPr>
        <sz val="11"/>
        <rFont val="Calibri"/>
        <family val="2"/>
        <scheme val="minor"/>
      </rPr>
      <t>: Ab 5 Jahren kann auf eine Litze reduziert werden, damit Kälbchen grasen können, aber weiterhin Schutz besteht vor Rindern.</t>
    </r>
  </si>
  <si>
    <r>
      <rPr>
        <b/>
        <sz val="12"/>
        <color theme="1"/>
        <rFont val="Calibri"/>
        <family val="2"/>
        <scheme val="minor"/>
      </rPr>
      <t>Fachkraft</t>
    </r>
    <r>
      <rPr>
        <sz val="12"/>
        <color theme="1"/>
        <rFont val="Calibri"/>
        <family val="2"/>
        <scheme val="minor"/>
      </rPr>
      <t xml:space="preserve"> - kalkulatorischer Lohnansatz in €:</t>
    </r>
  </si>
  <si>
    <r>
      <rPr>
        <b/>
        <sz val="12"/>
        <color theme="1"/>
        <rFont val="Calibri"/>
        <family val="2"/>
        <scheme val="minor"/>
      </rPr>
      <t>Hilfskraft</t>
    </r>
    <r>
      <rPr>
        <sz val="12"/>
        <color theme="1"/>
        <rFont val="Calibri"/>
        <family val="2"/>
        <scheme val="minor"/>
      </rPr>
      <t xml:space="preserve"> - kalkulatorischer Lohnansatz in €:</t>
    </r>
  </si>
  <si>
    <r>
      <t xml:space="preserve">4. Zu den Erntemengen des gepflanzten </t>
    </r>
    <r>
      <rPr>
        <b/>
        <sz val="12"/>
        <rFont val="Calibri"/>
        <family val="2"/>
        <scheme val="minor"/>
      </rPr>
      <t>Futterlaubs</t>
    </r>
    <r>
      <rPr>
        <sz val="12"/>
        <rFont val="Calibri"/>
        <family val="2"/>
        <scheme val="minor"/>
      </rPr>
      <t xml:space="preserve"> (Holunder, Maulbeere) gibt es bisher nur wenige Angaben.</t>
    </r>
  </si>
  <si>
    <r>
      <rPr>
        <b/>
        <sz val="12"/>
        <rFont val="Calibri"/>
        <family val="2"/>
        <scheme val="minor"/>
      </rPr>
      <t>Nach 25 Jahren</t>
    </r>
    <r>
      <rPr>
        <sz val="12"/>
        <rFont val="Calibri"/>
        <family val="2"/>
        <scheme val="minor"/>
      </rPr>
      <t xml:space="preserve">: </t>
    </r>
  </si>
  <si>
    <t>62,5 cm BHD</t>
  </si>
  <si>
    <t xml:space="preserve">Bei 5 m Höhe: </t>
  </si>
  <si>
    <t>1,5 Festmeter</t>
  </si>
  <si>
    <r>
      <rPr>
        <b/>
        <sz val="12"/>
        <rFont val="Calibri"/>
        <family val="2"/>
        <scheme val="minor"/>
      </rPr>
      <t>Nach 23 Jahren</t>
    </r>
    <r>
      <rPr>
        <sz val="12"/>
        <rFont val="Calibri"/>
        <family val="2"/>
        <scheme val="minor"/>
      </rPr>
      <t xml:space="preserve">: </t>
    </r>
  </si>
  <si>
    <t>57,5 cm BHD</t>
  </si>
  <si>
    <t>Bei 5 m Höhe:</t>
  </si>
  <si>
    <t>1,3 Festmeter</t>
  </si>
  <si>
    <r>
      <rPr>
        <b/>
        <sz val="12"/>
        <rFont val="Calibri"/>
        <family val="2"/>
        <scheme val="minor"/>
      </rPr>
      <t>Nach 21 Jahren</t>
    </r>
    <r>
      <rPr>
        <sz val="12"/>
        <rFont val="Calibri"/>
        <family val="2"/>
        <scheme val="minor"/>
      </rPr>
      <t>:</t>
    </r>
  </si>
  <si>
    <t>52,5 cm BHD</t>
  </si>
  <si>
    <t>1,05 Festmeter</t>
  </si>
  <si>
    <r>
      <rPr>
        <u/>
        <sz val="12"/>
        <rFont val="Calibri"/>
        <family val="2"/>
        <scheme val="minor"/>
      </rPr>
      <t>Baumstreifen</t>
    </r>
    <r>
      <rPr>
        <sz val="12"/>
        <rFont val="Calibri"/>
        <family val="2"/>
        <scheme val="minor"/>
      </rPr>
      <t>:</t>
    </r>
  </si>
  <si>
    <t>insg. 182 m Länge, 2m Breite. Fläche: 364 m² = 0,04 ha</t>
  </si>
  <si>
    <r>
      <rPr>
        <u/>
        <sz val="12"/>
        <rFont val="Calibri"/>
        <family val="2"/>
        <scheme val="minor"/>
      </rPr>
      <t>Orientierungswert</t>
    </r>
    <r>
      <rPr>
        <sz val="12"/>
        <rFont val="Calibri"/>
        <family val="2"/>
        <scheme val="minor"/>
      </rPr>
      <t>:</t>
    </r>
  </si>
  <si>
    <t xml:space="preserve">125 kg Laubreisig entspricht etwa 100 kg mittelgutem Wiesenheu </t>
  </si>
  <si>
    <t>Quelle: M. Machatschek, Laubgeschichten</t>
  </si>
  <si>
    <t>Quelle: https://www.agrarheute.com/pflanze/gruenland/heupreise-soviel-kostet-tonne-heu-444943</t>
  </si>
  <si>
    <r>
      <rPr>
        <u/>
        <sz val="12"/>
        <rFont val="Calibri"/>
        <family val="2"/>
        <scheme val="minor"/>
      </rPr>
      <t>Aktueller Heupreis in S-H</t>
    </r>
    <r>
      <rPr>
        <sz val="12"/>
        <rFont val="Calibri"/>
        <family val="2"/>
        <scheme val="minor"/>
      </rPr>
      <t>:</t>
    </r>
  </si>
  <si>
    <t>1,4 t TM pro ha und Jahr bei einer ungedüngten, dreijährigen Pflanzung als Futterlaub</t>
  </si>
  <si>
    <t>Quelle: https://revistas.uptc.edu.co/index.php/ciencia_en_desarrollo/article/download/9098/8635/33004</t>
  </si>
  <si>
    <r>
      <rPr>
        <u/>
        <sz val="12"/>
        <rFont val="Calibri"/>
        <family val="2"/>
        <scheme val="minor"/>
      </rPr>
      <t>Orientierungswerte</t>
    </r>
    <r>
      <rPr>
        <sz val="12"/>
        <rFont val="Calibri"/>
        <family val="2"/>
        <scheme val="minor"/>
      </rPr>
      <t>:</t>
    </r>
  </si>
  <si>
    <r>
      <rPr>
        <b/>
        <u/>
        <sz val="12"/>
        <rFont val="Calibri"/>
        <family val="2"/>
        <scheme val="minor"/>
      </rPr>
      <t>Ertrag</t>
    </r>
    <r>
      <rPr>
        <b/>
        <sz val="12"/>
        <rFont val="Calibri"/>
        <family val="2"/>
        <scheme val="minor"/>
      </rPr>
      <t xml:space="preserve">: </t>
    </r>
  </si>
  <si>
    <r>
      <rPr>
        <b/>
        <u/>
        <sz val="12"/>
        <rFont val="Calibri"/>
        <family val="2"/>
        <scheme val="minor"/>
      </rPr>
      <t>Entspricht</t>
    </r>
    <r>
      <rPr>
        <b/>
        <sz val="12"/>
        <rFont val="Calibri"/>
        <family val="2"/>
        <scheme val="minor"/>
      </rPr>
      <t>:</t>
    </r>
  </si>
  <si>
    <r>
      <rPr>
        <u/>
        <sz val="12"/>
        <rFont val="Calibri"/>
        <family val="2"/>
        <scheme val="minor"/>
      </rPr>
      <t>Anteil Holunder im Baumstreifen</t>
    </r>
    <r>
      <rPr>
        <sz val="12"/>
        <rFont val="Calibri"/>
        <family val="2"/>
        <scheme val="minor"/>
      </rPr>
      <t>:</t>
    </r>
  </si>
  <si>
    <t xml:space="preserve"> 172 Pflanzen von insg. 362 Pflanzen = 47,5% (~50%); 50% der Fläche entspricht 0,02 ha</t>
  </si>
  <si>
    <r>
      <rPr>
        <b/>
        <sz val="12"/>
        <rFont val="Calibri"/>
        <family val="2"/>
        <scheme val="minor"/>
      </rPr>
      <t>60 kg TM / Jahr auf 0,02 ha</t>
    </r>
    <r>
      <rPr>
        <sz val="12"/>
        <rFont val="Calibri"/>
        <family val="2"/>
        <scheme val="minor"/>
      </rPr>
      <t xml:space="preserve"> (bei 3 t TM/ ha &amp; Jahr)</t>
    </r>
  </si>
  <si>
    <t>~48 kg mittelgutem Wiesenheu (s.o.) und damit einem Wert von € 7,44</t>
  </si>
  <si>
    <r>
      <rPr>
        <u/>
        <sz val="12"/>
        <rFont val="Calibri"/>
        <family val="2"/>
        <scheme val="minor"/>
      </rPr>
      <t>Anteil im Baumstreifen</t>
    </r>
    <r>
      <rPr>
        <sz val="12"/>
        <rFont val="Calibri"/>
        <family val="2"/>
        <scheme val="minor"/>
      </rPr>
      <t>:</t>
    </r>
  </si>
  <si>
    <t>190 Pflanzen von insg. 362 Pflanzen = ~55%, das entspricht 0,022 ha</t>
  </si>
  <si>
    <r>
      <rPr>
        <u/>
        <sz val="12"/>
        <rFont val="Calibri"/>
        <family val="2"/>
        <scheme val="minor"/>
      </rPr>
      <t>Ertrag</t>
    </r>
    <r>
      <rPr>
        <sz val="12"/>
        <rFont val="Calibri"/>
        <family val="2"/>
        <scheme val="minor"/>
      </rPr>
      <t>:</t>
    </r>
  </si>
  <si>
    <t>66 kg TM / Jahr auf 0,022 ha (bei 3 t TM/ ha &amp; Jahr)</t>
  </si>
  <si>
    <r>
      <rPr>
        <u/>
        <sz val="12"/>
        <rFont val="Calibri"/>
        <family val="2"/>
        <scheme val="minor"/>
      </rPr>
      <t>Entspricht</t>
    </r>
    <r>
      <rPr>
        <sz val="12"/>
        <rFont val="Calibri"/>
        <family val="2"/>
        <scheme val="minor"/>
      </rPr>
      <t>:</t>
    </r>
  </si>
  <si>
    <t>53 kg mittelgutem Wiesenheu (s.o.) und damit einem Wert von € 8,23</t>
  </si>
  <si>
    <t xml:space="preserve"> 140€ / t </t>
  </si>
  <si>
    <r>
      <rPr>
        <u/>
        <sz val="12"/>
        <rFont val="Calibri"/>
        <family val="2"/>
        <scheme val="minor"/>
      </rPr>
      <t>66 kg Futterlaub</t>
    </r>
    <r>
      <rPr>
        <sz val="12"/>
        <rFont val="Calibri"/>
        <family val="2"/>
        <scheme val="minor"/>
      </rPr>
      <t>:</t>
    </r>
  </si>
  <si>
    <t>0,66 dt * € 14 = € 9,24 pro Jahr</t>
  </si>
  <si>
    <t>200g</t>
  </si>
  <si>
    <t>€ 133,2 für 5 kg</t>
  </si>
  <si>
    <r>
      <t xml:space="preserve">Bei der Etablierung dieses AFS entstehen durch eine Knickverlegung </t>
    </r>
    <r>
      <rPr>
        <b/>
        <sz val="12"/>
        <rFont val="Calibri"/>
        <family val="2"/>
        <scheme val="minor"/>
      </rPr>
      <t>standortindividuelle Kosten</t>
    </r>
    <r>
      <rPr>
        <sz val="12"/>
        <rFont val="Calibri"/>
        <family val="2"/>
        <scheme val="minor"/>
      </rPr>
      <t>. Es werden beide Varianten (mit und ohne diese Zusatzkosten) betrachtet.</t>
    </r>
  </si>
  <si>
    <r>
      <t xml:space="preserve">1. Das primäre Ziel dieses Agroforstsystems ist </t>
    </r>
    <r>
      <rPr>
        <b/>
        <sz val="12"/>
        <rFont val="Calibri"/>
        <family val="2"/>
        <scheme val="minor"/>
      </rPr>
      <t>Windschutz</t>
    </r>
    <r>
      <rPr>
        <sz val="12"/>
        <rFont val="Calibri"/>
        <family val="2"/>
        <scheme val="minor"/>
      </rPr>
      <t>.</t>
    </r>
  </si>
  <si>
    <r>
      <t xml:space="preserve">2. Betriebswirtschaftlich relevante </t>
    </r>
    <r>
      <rPr>
        <b/>
        <sz val="12"/>
        <rFont val="Calibri"/>
        <family val="2"/>
        <scheme val="minor"/>
      </rPr>
      <t>Ökosystemleistungen</t>
    </r>
    <r>
      <rPr>
        <sz val="12"/>
        <rFont val="Calibri"/>
        <family val="2"/>
        <scheme val="minor"/>
      </rPr>
      <t xml:space="preserve"> wie Windschutz, Schatten und mehr Tierwohl bleiben in der Kapitalwertrechnung unberücksichtigt.</t>
    </r>
  </si>
  <si>
    <r>
      <t xml:space="preserve">3. Die Einkünfte aus den gepflanzten </t>
    </r>
    <r>
      <rPr>
        <b/>
        <sz val="12"/>
        <rFont val="Calibri"/>
        <family val="2"/>
        <scheme val="minor"/>
      </rPr>
      <t>Eichen</t>
    </r>
    <r>
      <rPr>
        <sz val="12"/>
        <rFont val="Calibri"/>
        <family val="2"/>
        <scheme val="minor"/>
      </rPr>
      <t xml:space="preserve"> (53 Stück), die frühestens nach 60 bis 70 Jahren geerntet werden können, wurden nicht berücksichtigt, da sich diese zum jetzigen Zeitpunkt nur schwer abschätzen lassen.</t>
    </r>
  </si>
  <si>
    <t>Erläuterungen:</t>
  </si>
  <si>
    <r>
      <t xml:space="preserve">Bei dieser Berechnung wird </t>
    </r>
    <r>
      <rPr>
        <b/>
        <sz val="12"/>
        <rFont val="Calibri"/>
        <family val="2"/>
        <scheme val="minor"/>
      </rPr>
      <t>ausschließlich der  Baumstreifen</t>
    </r>
    <r>
      <rPr>
        <sz val="12"/>
        <rFont val="Calibri"/>
        <family val="2"/>
        <scheme val="minor"/>
      </rPr>
      <t xml:space="preserve"> betrachtet - nicht das gesamte Agroforstsystem. Er wird mithilfe der Kapitalwertmethode als Investition bewertet. Diese Methode prüft, ob sich eine </t>
    </r>
    <r>
      <rPr>
        <b/>
        <sz val="12"/>
        <rFont val="Calibri"/>
        <family val="2"/>
        <scheme val="minor"/>
      </rPr>
      <t>langfristige Investition</t>
    </r>
    <r>
      <rPr>
        <sz val="12"/>
        <rFont val="Calibri"/>
        <family val="2"/>
        <scheme val="minor"/>
      </rPr>
      <t xml:space="preserve"> wirtschaftlich lohnt. Dazu werden alle künftig erwarteten Ein- und Auszahlungen, z.B. Pflegekosten, auf ihren heutigen Wert umgerechnet. Grundidee:  Ein Euro heute ist mehr wert als ein Euro in der Zukunft, da verfügbares Geld alternativ angelegt und verzinst werden kann. Künftige Ein- und Auszahlungen werden deshalb mit einem Zinssatz auf den heutigen Zeitpunkt abgezinst. Sollen mehrere langfristige Investitionsmöglichkeiten – etwa verschiedene Gehölzarten im Baumstreifen oder eine alternative Geldanlage wie ein Festgeldkonto – verglichen werden, wird in der Regel die Option mit dem höchsten positiven Kapitalwert bevorzugt. </t>
    </r>
    <r>
      <rPr>
        <b/>
        <sz val="12"/>
        <rFont val="Calibri"/>
        <family val="2"/>
        <scheme val="minor"/>
      </rPr>
      <t>Ökosystemleistungen</t>
    </r>
    <r>
      <rPr>
        <sz val="12"/>
        <rFont val="Calibri"/>
        <family val="2"/>
        <scheme val="minor"/>
      </rPr>
      <t xml:space="preserve"> werden in dieser Berechnung nicht monetär berücksichtigt.</t>
    </r>
  </si>
  <si>
    <r>
      <t xml:space="preserve">Der </t>
    </r>
    <r>
      <rPr>
        <b/>
        <sz val="12"/>
        <rFont val="Calibri"/>
        <family val="2"/>
        <scheme val="minor"/>
      </rPr>
      <t>Abzinsfaktor</t>
    </r>
    <r>
      <rPr>
        <sz val="12"/>
        <rFont val="Calibri"/>
        <family val="2"/>
        <scheme val="minor"/>
      </rPr>
      <t xml:space="preserve"> rechnet eine zukünftige Zahlung auf ihren heutigen Wert, den </t>
    </r>
    <r>
      <rPr>
        <b/>
        <sz val="12"/>
        <rFont val="Calibri"/>
        <family val="2"/>
        <scheme val="minor"/>
      </rPr>
      <t>Barwert</t>
    </r>
    <r>
      <rPr>
        <sz val="12"/>
        <rFont val="Calibri"/>
        <family val="2"/>
        <scheme val="minor"/>
      </rPr>
      <t>, zurück. Er berücksichtigt, dass ein Euro heute mehr wert ist als ein Euro in der Zukunft, da er bis dahin verzinst angelegt werden könnte.</t>
    </r>
  </si>
  <si>
    <r>
      <t xml:space="preserve">Ein positiver </t>
    </r>
    <r>
      <rPr>
        <b/>
        <sz val="12"/>
        <rFont val="Calibri"/>
        <family val="2"/>
        <scheme val="minor"/>
      </rPr>
      <t>Kapitalwert</t>
    </r>
    <r>
      <rPr>
        <sz val="12"/>
        <rFont val="Calibri"/>
        <family val="2"/>
        <scheme val="minor"/>
      </rPr>
      <t xml:space="preserve"> bedeutet, dass die geforderte Rendite von 4 % überstiegen wird. Ein Kapitalwert von null bedeutet, dass dieser Schwellenwert exakt erreicht wird.</t>
    </r>
  </si>
  <si>
    <r>
      <t xml:space="preserve">Die </t>
    </r>
    <r>
      <rPr>
        <b/>
        <sz val="12"/>
        <rFont val="Calibri"/>
        <family val="2"/>
        <scheme val="minor"/>
      </rPr>
      <t>Annuität</t>
    </r>
    <r>
      <rPr>
        <sz val="12"/>
        <rFont val="Calibri"/>
        <family val="2"/>
        <scheme val="minor"/>
      </rPr>
      <t xml:space="preserve"> wandelt den auf 25 Jahre berechneten Kapitalwert in einen gleichbleibenden Jahresbetrag für denselben Zeitraum um. Sie ist besonders hilfreich, wenn sich Gehölze und Zahlungszeitpunkte stark unterscheiden.</t>
    </r>
  </si>
  <si>
    <r>
      <t xml:space="preserve">5. Die Anlage dieses AFS wurde detailliert geplant, aus </t>
    </r>
    <r>
      <rPr>
        <b/>
        <sz val="12"/>
        <rFont val="Calibri"/>
        <family val="2"/>
        <scheme val="minor"/>
      </rPr>
      <t>Kostengründen</t>
    </r>
    <r>
      <rPr>
        <sz val="12"/>
        <rFont val="Calibri"/>
        <family val="2"/>
        <scheme val="minor"/>
      </rPr>
      <t xml:space="preserve"> jedoch auf 2027 (oder später) verschoben.</t>
    </r>
  </si>
  <si>
    <r>
      <t xml:space="preserve">Bei dieser Berechnung wird </t>
    </r>
    <r>
      <rPr>
        <b/>
        <sz val="12"/>
        <rFont val="Calibri"/>
        <family val="2"/>
        <scheme val="minor"/>
      </rPr>
      <t>ausschließlich der  Baumstreifen</t>
    </r>
    <r>
      <rPr>
        <sz val="12"/>
        <rFont val="Calibri"/>
        <family val="2"/>
        <scheme val="minor"/>
      </rPr>
      <t xml:space="preserve"> betrachtet - nicht das gesamte Agroforstsystem. Er wird mithilfe der Kapitalwertmethode als Investition bewertet. Diese Methode prüft, ob sich eine </t>
    </r>
    <r>
      <rPr>
        <b/>
        <sz val="12"/>
        <rFont val="Calibri"/>
        <family val="2"/>
        <scheme val="minor"/>
      </rPr>
      <t>langfristige Investition</t>
    </r>
    <r>
      <rPr>
        <sz val="12"/>
        <rFont val="Calibri"/>
        <family val="2"/>
        <scheme val="minor"/>
      </rPr>
      <t xml:space="preserve"> wirtschaftlich lohnt. Dazu werden alle künftig erwarteten Ein- und Auszahlungen, z.B. Pflegekosten, auf ihren heutigen Wert umgerechnet. Grundidee:  Ein Euro heute ist mehr wert als ein Euro in der Zukunft, da verfügbares Geld alternativ angelegt und verzinst werden kann. Künftige Ein- und Auszahlungen werden deshalb mit einem Zinssatz auf den heutigen Zeitpunkt abgezinst. Sollen mehrere langfristige Investitionsmöglichkeiten – etwa verschiedene Gehölzarten im Baumstreifen oder eine alternative Geldanlage wie ein Festgeldkonto – verglichen werden, wird in der Regel die Option mit dem höchsten positiven Kapitalwert bevorzugt. </t>
    </r>
    <r>
      <rPr>
        <b/>
        <sz val="12"/>
        <rFont val="Calibri"/>
        <family val="2"/>
        <scheme val="minor"/>
      </rPr>
      <t>Ökosystemleistungen</t>
    </r>
    <r>
      <rPr>
        <sz val="12"/>
        <rFont val="Calibri"/>
        <family val="2"/>
        <scheme val="minor"/>
      </rPr>
      <t xml:space="preserve"> werden in dieser Berechnung in der Regel nicht monetär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</si>
</sst>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164" formatCode="d/m;@"/>
    <numFmt numFmtId="165" formatCode="#,##0.00\ [$€-407];\-#,##0.00\ [$€-407]"/>
    <numFmt numFmtId="166" formatCode="#,##0.00\ &quot;€&quot;"/>
    <numFmt numFmtId="167" formatCode="0.0"/>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sz val="12"/>
      <name val="Arial"/>
      <family val="2"/>
    </font>
    <font>
      <u/>
      <sz val="12"/>
      <color theme="10"/>
      <name val="Calibri"/>
      <family val="2"/>
      <scheme val="minor"/>
    </font>
    <font>
      <u/>
      <sz val="12"/>
      <color theme="11"/>
      <name val="Calibri"/>
      <family val="2"/>
      <scheme val="minor"/>
    </font>
    <font>
      <b/>
      <sz val="12"/>
      <color theme="0"/>
      <name val="Arial"/>
      <family val="2"/>
    </font>
    <font>
      <b/>
      <sz val="12"/>
      <name val="Arial"/>
      <family val="2"/>
    </font>
    <font>
      <sz val="11"/>
      <name val="Verdana"/>
      <family val="2"/>
    </font>
    <font>
      <b/>
      <sz val="12"/>
      <color theme="1"/>
      <name val="Arial"/>
      <family val="2"/>
    </font>
    <font>
      <b/>
      <sz val="12"/>
      <color theme="0"/>
      <name val="Arial"/>
      <family val="2"/>
    </font>
    <font>
      <sz val="12"/>
      <color theme="1"/>
      <name val="Arial"/>
      <family val="2"/>
    </font>
    <font>
      <sz val="12"/>
      <color theme="0"/>
      <name val="Arial"/>
      <family val="2"/>
    </font>
    <font>
      <sz val="12"/>
      <name val="Arial"/>
      <family val="2"/>
    </font>
    <font>
      <sz val="9"/>
      <color indexed="81"/>
      <name val="Segoe UI"/>
      <family val="2"/>
    </font>
    <font>
      <b/>
      <sz val="9"/>
      <color indexed="81"/>
      <name val="Segoe UI"/>
      <family val="2"/>
    </font>
    <font>
      <b/>
      <sz val="12"/>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sz val="11"/>
      <color rgb="FF0070C0"/>
      <name val="Calibri"/>
      <family val="2"/>
      <scheme val="minor"/>
    </font>
    <font>
      <b/>
      <sz val="11"/>
      <color rgb="FFFF0000"/>
      <name val="Calibri"/>
      <family val="2"/>
      <scheme val="minor"/>
    </font>
    <font>
      <sz val="11"/>
      <name val="Calibri"/>
      <family val="2"/>
      <scheme val="minor"/>
    </font>
    <font>
      <sz val="14"/>
      <color theme="1"/>
      <name val="Calibri"/>
      <family val="2"/>
      <scheme val="minor"/>
    </font>
    <font>
      <b/>
      <sz val="14"/>
      <color rgb="FF3333CC"/>
      <name val="Calibri"/>
      <family val="2"/>
      <scheme val="minor"/>
    </font>
    <font>
      <sz val="14"/>
      <color rgb="FF3333CC"/>
      <name val="Calibri"/>
      <family val="2"/>
      <scheme val="minor"/>
    </font>
    <font>
      <b/>
      <sz val="11"/>
      <name val="Calibri"/>
      <family val="2"/>
      <scheme val="minor"/>
    </font>
    <font>
      <u/>
      <sz val="11"/>
      <name val="Calibri"/>
      <family val="2"/>
      <scheme val="minor"/>
    </font>
    <font>
      <sz val="12"/>
      <color theme="1"/>
      <name val="Calibri"/>
      <family val="2"/>
      <scheme val="minor"/>
    </font>
    <font>
      <sz val="10"/>
      <color rgb="FF0070C0"/>
      <name val="Calibri"/>
      <family val="2"/>
      <scheme val="minor"/>
    </font>
    <font>
      <sz val="14"/>
      <color rgb="FF0070C0"/>
      <name val="Calibri"/>
      <family val="2"/>
      <scheme val="minor"/>
    </font>
    <font>
      <b/>
      <sz val="12"/>
      <color rgb="FF3333CC"/>
      <name val="Calibri"/>
      <family val="2"/>
      <scheme val="minor"/>
    </font>
    <font>
      <sz val="12"/>
      <color rgb="FF3333CC"/>
      <name val="Calibri"/>
      <family val="2"/>
      <scheme val="minor"/>
    </font>
    <font>
      <b/>
      <sz val="12"/>
      <name val="Calibri"/>
      <family val="2"/>
      <scheme val="minor"/>
    </font>
    <font>
      <sz val="12"/>
      <name val="Calibri"/>
      <family val="2"/>
      <scheme val="minor"/>
    </font>
    <font>
      <u/>
      <sz val="12"/>
      <color rgb="FF3333CC"/>
      <name val="Calibri"/>
      <family val="2"/>
      <scheme val="minor"/>
    </font>
    <font>
      <sz val="16"/>
      <color rgb="FFFF0000"/>
      <name val="Calibri"/>
      <family val="2"/>
      <scheme val="minor"/>
    </font>
    <font>
      <sz val="14"/>
      <color rgb="FFFF0000"/>
      <name val="Calibri"/>
      <family val="2"/>
      <scheme val="minor"/>
    </font>
    <font>
      <i/>
      <sz val="11"/>
      <name val="Calibri"/>
      <family val="2"/>
      <scheme val="minor"/>
    </font>
    <font>
      <u/>
      <sz val="12"/>
      <name val="Calibri"/>
      <family val="2"/>
      <scheme val="minor"/>
    </font>
    <font>
      <b/>
      <sz val="14"/>
      <name val="Calibri"/>
      <family val="2"/>
      <scheme val="minor"/>
    </font>
    <font>
      <b/>
      <u/>
      <sz val="12"/>
      <name val="Calibri"/>
      <family val="2"/>
      <scheme val="minor"/>
    </font>
    <font>
      <sz val="14"/>
      <name val="Calibri"/>
      <family val="2"/>
      <scheme val="minor"/>
    </font>
    <font>
      <sz val="10"/>
      <name val="Calibri"/>
      <family val="2"/>
      <scheme val="minor"/>
    </font>
    <font>
      <sz val="10"/>
      <color rgb="FFFF0000"/>
      <name val="Calibri"/>
      <family val="2"/>
      <scheme val="minor"/>
    </font>
    <font>
      <sz val="12"/>
      <color rgb="FF0070C0"/>
      <name val="Calibri"/>
      <family val="2"/>
      <scheme val="minor"/>
    </font>
    <font>
      <b/>
      <sz val="16"/>
      <name val="Calibri"/>
      <family val="2"/>
      <scheme val="minor"/>
    </font>
    <font>
      <sz val="16"/>
      <name val="Calibri"/>
      <family val="2"/>
      <scheme val="minor"/>
    </font>
    <font>
      <sz val="16"/>
      <color theme="1"/>
      <name val="Calibri"/>
      <family val="2"/>
      <scheme val="minor"/>
    </font>
    <font>
      <i/>
      <sz val="12"/>
      <name val="Calibri"/>
      <family val="2"/>
      <scheme val="minor"/>
    </font>
    <font>
      <sz val="11"/>
      <color theme="7" tint="0.39997558519241921"/>
      <name val="Calibri"/>
      <family val="2"/>
      <scheme val="minor"/>
    </font>
  </fonts>
  <fills count="18">
    <fill>
      <patternFill patternType="none"/>
    </fill>
    <fill>
      <patternFill patternType="gray125"/>
    </fill>
    <fill>
      <patternFill patternType="solid">
        <fgColor theme="8" tint="0.79998168889431442"/>
        <bgColor indexed="64"/>
      </patternFill>
    </fill>
    <fill>
      <patternFill patternType="solid">
        <fgColor rgb="FFA6A6A6"/>
        <bgColor indexed="64"/>
      </patternFill>
    </fill>
    <fill>
      <patternFill patternType="solid">
        <fgColor rgb="FFA61C59"/>
        <bgColor indexed="64"/>
      </patternFill>
    </fill>
    <fill>
      <patternFill patternType="solid">
        <fgColor rgb="FFECECEC"/>
        <bgColor indexed="64"/>
      </patternFill>
    </fill>
    <fill>
      <patternFill patternType="solid">
        <fgColor theme="0" tint="-0.14999847407452621"/>
        <bgColor indexed="64"/>
      </patternFill>
    </fill>
    <fill>
      <patternFill patternType="solid">
        <fgColor rgb="FFEAEAEA"/>
        <bgColor indexed="64"/>
      </patternFill>
    </fill>
    <fill>
      <patternFill patternType="solid">
        <fgColor rgb="FFFFFF8B"/>
        <bgColor indexed="64"/>
      </patternFill>
    </fill>
    <fill>
      <patternFill patternType="solid">
        <fgColor rgb="FFCCECFF"/>
        <bgColor indexed="64"/>
      </patternFill>
    </fill>
    <fill>
      <patternFill patternType="solid">
        <fgColor rgb="FFFFFFFF"/>
        <bgColor indexed="64"/>
      </patternFill>
    </fill>
    <fill>
      <patternFill patternType="solid">
        <fgColor rgb="FFFFFF99"/>
        <bgColor indexed="64"/>
      </patternFill>
    </fill>
    <fill>
      <patternFill patternType="solid">
        <fgColor rgb="FFFFE7E7"/>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C979"/>
        <bgColor indexed="64"/>
      </patternFill>
    </fill>
  </fills>
  <borders count="68">
    <border>
      <left/>
      <right/>
      <top/>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top style="medium">
        <color auto="1"/>
      </top>
      <bottom/>
      <diagonal/>
    </border>
    <border>
      <left style="thin">
        <color auto="1"/>
      </left>
      <right style="thin">
        <color indexed="64"/>
      </right>
      <top/>
      <bottom style="thin">
        <color auto="1"/>
      </bottom>
      <diagonal/>
    </border>
    <border>
      <left style="thin">
        <color auto="1"/>
      </left>
      <right style="thin">
        <color indexed="64"/>
      </right>
      <top style="thin">
        <color auto="1"/>
      </top>
      <bottom/>
      <diagonal/>
    </border>
    <border>
      <left/>
      <right style="medium">
        <color indexed="64"/>
      </right>
      <top style="medium">
        <color indexed="64"/>
      </top>
      <bottom/>
      <diagonal/>
    </border>
    <border>
      <left style="medium">
        <color indexed="64"/>
      </left>
      <right/>
      <top/>
      <bottom style="thin">
        <color auto="1"/>
      </bottom>
      <diagonal/>
    </border>
    <border>
      <left style="thin">
        <color auto="1"/>
      </left>
      <right style="medium">
        <color indexed="64"/>
      </right>
      <top style="thin">
        <color auto="1"/>
      </top>
      <bottom/>
      <diagonal/>
    </border>
    <border>
      <left style="medium">
        <color indexed="64"/>
      </left>
      <right/>
      <top style="medium">
        <color indexed="64"/>
      </top>
      <bottom/>
      <diagonal/>
    </border>
    <border>
      <left style="thin">
        <color auto="1"/>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auto="1"/>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s>
  <cellStyleXfs count="91">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3" fillId="0" borderId="0"/>
    <xf numFmtId="0" fontId="7" fillId="0" borderId="0" applyNumberFormat="0" applyFill="0" applyBorder="0" applyAlignment="0" applyProtection="0"/>
  </cellStyleXfs>
  <cellXfs count="529">
    <xf numFmtId="0" fontId="0" fillId="0" borderId="0" xfId="0"/>
    <xf numFmtId="0" fontId="5" fillId="0" borderId="0" xfId="0" applyFont="1"/>
    <xf numFmtId="0" fontId="4" fillId="0" borderId="0" xfId="0" applyFont="1"/>
    <xf numFmtId="0" fontId="10" fillId="0" borderId="0" xfId="0" applyFont="1"/>
    <xf numFmtId="0" fontId="6" fillId="0" borderId="0" xfId="0" applyFont="1"/>
    <xf numFmtId="164" fontId="4" fillId="0" borderId="0" xfId="0" applyNumberFormat="1" applyFont="1"/>
    <xf numFmtId="164" fontId="4" fillId="2" borderId="0" xfId="0" applyNumberFormat="1" applyFont="1" applyFill="1"/>
    <xf numFmtId="164" fontId="6" fillId="0" borderId="0" xfId="0" applyNumberFormat="1" applyFont="1"/>
    <xf numFmtId="0" fontId="9" fillId="0" borderId="0" xfId="0" applyFont="1" applyAlignment="1">
      <alignment horizontal="center"/>
    </xf>
    <xf numFmtId="164" fontId="10" fillId="0" borderId="0" xfId="0" applyNumberFormat="1" applyFont="1"/>
    <xf numFmtId="0" fontId="11" fillId="0" borderId="0" xfId="0" applyFont="1"/>
    <xf numFmtId="164" fontId="6" fillId="0" borderId="0" xfId="0" applyNumberFormat="1" applyFont="1" applyAlignment="1">
      <alignment horizontal="right"/>
    </xf>
    <xf numFmtId="164" fontId="10" fillId="0" borderId="0" xfId="0" applyNumberFormat="1" applyFont="1" applyAlignment="1">
      <alignment horizontal="right"/>
    </xf>
    <xf numFmtId="164" fontId="12" fillId="0" borderId="0" xfId="0" applyNumberFormat="1" applyFont="1"/>
    <xf numFmtId="164" fontId="14" fillId="0" borderId="0" xfId="0" applyNumberFormat="1" applyFont="1"/>
    <xf numFmtId="0" fontId="14" fillId="0" borderId="0" xfId="0" applyFont="1"/>
    <xf numFmtId="0" fontId="16" fillId="0" borderId="0" xfId="0" applyFont="1"/>
    <xf numFmtId="166" fontId="14" fillId="0" borderId="0" xfId="0" applyNumberFormat="1" applyFont="1"/>
    <xf numFmtId="166" fontId="16" fillId="0" borderId="0" xfId="0" applyNumberFormat="1" applyFont="1"/>
    <xf numFmtId="165" fontId="14" fillId="0" borderId="0" xfId="0" applyNumberFormat="1" applyFont="1"/>
    <xf numFmtId="0" fontId="15" fillId="0" borderId="0" xfId="0" applyFont="1" applyAlignment="1">
      <alignment horizontal="center"/>
    </xf>
    <xf numFmtId="16" fontId="14" fillId="0" borderId="0" xfId="0" applyNumberFormat="1" applyFont="1"/>
    <xf numFmtId="0" fontId="9" fillId="3" borderId="0" xfId="0" applyFont="1" applyFill="1" applyAlignment="1">
      <alignment horizontal="center"/>
    </xf>
    <xf numFmtId="0" fontId="9" fillId="3" borderId="0" xfId="0" applyFont="1" applyFill="1"/>
    <xf numFmtId="0" fontId="13" fillId="3" borderId="0" xfId="0" applyFont="1" applyFill="1"/>
    <xf numFmtId="165" fontId="14" fillId="5" borderId="0" xfId="0" applyNumberFormat="1" applyFont="1" applyFill="1" applyAlignment="1">
      <alignment horizontal="right"/>
    </xf>
    <xf numFmtId="0" fontId="13" fillId="3" borderId="0" xfId="0" applyFont="1" applyFill="1" applyAlignment="1">
      <alignment horizontal="center"/>
    </xf>
    <xf numFmtId="166" fontId="12" fillId="3" borderId="1" xfId="0" applyNumberFormat="1" applyFont="1" applyFill="1" applyBorder="1"/>
    <xf numFmtId="164" fontId="13" fillId="4" borderId="1" xfId="0" applyNumberFormat="1" applyFont="1" applyFill="1" applyBorder="1"/>
    <xf numFmtId="0" fontId="0" fillId="0" borderId="0" xfId="0" applyAlignment="1">
      <alignment horizontal="center" vertical="center"/>
    </xf>
    <xf numFmtId="0" fontId="19" fillId="0" borderId="0" xfId="0" applyFont="1" applyAlignment="1">
      <alignment horizontal="center" vertical="center"/>
    </xf>
    <xf numFmtId="4" fontId="0" fillId="0" borderId="0" xfId="0" applyNumberFormat="1"/>
    <xf numFmtId="166" fontId="0" fillId="0" borderId="0" xfId="0" applyNumberFormat="1"/>
    <xf numFmtId="8" fontId="0" fillId="0" borderId="0" xfId="0" applyNumberFormat="1"/>
    <xf numFmtId="49" fontId="0" fillId="0" borderId="0" xfId="0" applyNumberFormat="1" applyAlignment="1">
      <alignment wrapText="1"/>
    </xf>
    <xf numFmtId="0" fontId="22" fillId="0" borderId="0" xfId="89" applyFont="1"/>
    <xf numFmtId="49" fontId="22" fillId="0" borderId="0" xfId="89" applyNumberFormat="1" applyFont="1"/>
    <xf numFmtId="0" fontId="22" fillId="0" borderId="0" xfId="89" applyFont="1" applyAlignment="1">
      <alignment horizontal="left" vertical="center"/>
    </xf>
    <xf numFmtId="0" fontId="3" fillId="0" borderId="0" xfId="89"/>
    <xf numFmtId="49" fontId="3" fillId="0" borderId="0" xfId="89" applyNumberFormat="1"/>
    <xf numFmtId="0" fontId="3" fillId="0" borderId="0" xfId="89" applyAlignment="1">
      <alignment horizontal="left" vertical="center"/>
    </xf>
    <xf numFmtId="0" fontId="3" fillId="0" borderId="0" xfId="89" applyAlignment="1">
      <alignment horizontal="left" vertical="center" wrapText="1"/>
    </xf>
    <xf numFmtId="0" fontId="21" fillId="0" borderId="14" xfId="89" applyFont="1" applyBorder="1" applyAlignment="1">
      <alignment horizontal="center" vertical="center" wrapText="1"/>
    </xf>
    <xf numFmtId="0" fontId="21" fillId="0" borderId="17" xfId="89" applyFont="1" applyBorder="1" applyAlignment="1">
      <alignment horizontal="center" vertical="center" wrapText="1"/>
    </xf>
    <xf numFmtId="0" fontId="21" fillId="0" borderId="18" xfId="89" applyFont="1" applyBorder="1" applyAlignment="1">
      <alignment horizontal="center" vertical="center" wrapText="1"/>
    </xf>
    <xf numFmtId="0" fontId="21" fillId="0" borderId="19" xfId="89" applyFont="1" applyBorder="1" applyAlignment="1">
      <alignment horizontal="center" vertical="center" wrapText="1"/>
    </xf>
    <xf numFmtId="0" fontId="21" fillId="0" borderId="4" xfId="89" applyFont="1" applyBorder="1" applyAlignment="1">
      <alignment horizontal="center" vertical="center" wrapText="1"/>
    </xf>
    <xf numFmtId="0" fontId="21" fillId="0" borderId="7" xfId="89" applyFont="1" applyBorder="1" applyAlignment="1">
      <alignment horizontal="left" vertical="center" wrapText="1"/>
    </xf>
    <xf numFmtId="0" fontId="3" fillId="0" borderId="0" xfId="89" applyAlignment="1">
      <alignment horizontal="left" vertical="top" wrapText="1"/>
    </xf>
    <xf numFmtId="0" fontId="3" fillId="0" borderId="0" xfId="89" applyFont="1"/>
    <xf numFmtId="49" fontId="3" fillId="0" borderId="0" xfId="89" applyNumberFormat="1" applyFont="1"/>
    <xf numFmtId="0" fontId="3" fillId="0" borderId="0" xfId="89" applyFont="1" applyAlignment="1">
      <alignment horizontal="left" vertical="center"/>
    </xf>
    <xf numFmtId="0" fontId="21" fillId="0" borderId="0" xfId="89" applyFont="1"/>
    <xf numFmtId="49" fontId="21" fillId="0" borderId="0" xfId="89" applyNumberFormat="1" applyFont="1"/>
    <xf numFmtId="0" fontId="21" fillId="0" borderId="0" xfId="89" applyFont="1" applyFill="1"/>
    <xf numFmtId="0" fontId="21" fillId="0" borderId="0" xfId="89" applyFont="1" applyAlignment="1">
      <alignment horizontal="left" vertical="center"/>
    </xf>
    <xf numFmtId="0" fontId="29" fillId="0" borderId="0" xfId="89" applyFont="1" applyAlignment="1">
      <alignment horizontal="center" vertical="center"/>
    </xf>
    <xf numFmtId="0" fontId="28" fillId="0" borderId="0" xfId="89" applyFont="1" applyAlignment="1">
      <alignment horizontal="center" vertical="center"/>
    </xf>
    <xf numFmtId="0" fontId="29" fillId="0" borderId="5" xfId="89" applyFont="1" applyBorder="1" applyAlignment="1">
      <alignment horizontal="center" vertical="center" wrapText="1"/>
    </xf>
    <xf numFmtId="0" fontId="29" fillId="0" borderId="21" xfId="89" applyFont="1" applyBorder="1" applyAlignment="1">
      <alignment horizontal="center" vertical="center" wrapText="1"/>
    </xf>
    <xf numFmtId="166" fontId="29" fillId="0" borderId="21" xfId="89" applyNumberFormat="1" applyFont="1" applyBorder="1" applyAlignment="1">
      <alignment horizontal="center" vertical="center" wrapText="1"/>
    </xf>
    <xf numFmtId="0" fontId="28" fillId="0" borderId="11" xfId="89" applyFont="1" applyBorder="1" applyAlignment="1">
      <alignment horizontal="center" vertical="center" wrapText="1"/>
    </xf>
    <xf numFmtId="0" fontId="28" fillId="0" borderId="24" xfId="89" applyFont="1" applyBorder="1" applyAlignment="1">
      <alignment horizontal="center" vertical="center" wrapText="1"/>
    </xf>
    <xf numFmtId="166" fontId="28" fillId="0" borderId="21" xfId="89" applyNumberFormat="1" applyFont="1" applyBorder="1" applyAlignment="1">
      <alignment horizontal="center" vertical="center" wrapText="1"/>
    </xf>
    <xf numFmtId="166" fontId="28" fillId="0" borderId="24" xfId="89" applyNumberFormat="1" applyFont="1" applyBorder="1" applyAlignment="1">
      <alignment horizontal="center" vertical="center" wrapText="1"/>
    </xf>
    <xf numFmtId="0" fontId="28" fillId="0" borderId="0" xfId="89" applyFont="1" applyAlignment="1">
      <alignment horizontal="left" vertical="center"/>
    </xf>
    <xf numFmtId="49" fontId="3" fillId="0" borderId="6" xfId="89" applyNumberFormat="1" applyFill="1" applyBorder="1" applyAlignment="1">
      <alignment horizontal="left" vertical="center" wrapText="1"/>
    </xf>
    <xf numFmtId="14" fontId="3" fillId="0" borderId="29" xfId="89" applyNumberFormat="1" applyFill="1" applyBorder="1" applyAlignment="1">
      <alignment horizontal="center" vertical="center" wrapText="1"/>
    </xf>
    <xf numFmtId="0" fontId="3" fillId="0" borderId="23" xfId="89" applyFont="1" applyFill="1" applyBorder="1" applyAlignment="1">
      <alignment horizontal="center" vertical="center" wrapText="1"/>
    </xf>
    <xf numFmtId="0" fontId="3" fillId="0" borderId="21" xfId="89" applyFill="1" applyBorder="1" applyAlignment="1">
      <alignment horizontal="center" vertical="center" wrapText="1"/>
    </xf>
    <xf numFmtId="0" fontId="20" fillId="0" borderId="24" xfId="89" applyFont="1" applyFill="1" applyBorder="1" applyAlignment="1">
      <alignment horizontal="left" vertical="center" wrapText="1"/>
    </xf>
    <xf numFmtId="0" fontId="3" fillId="0" borderId="31" xfId="89" applyFill="1" applyBorder="1" applyAlignment="1">
      <alignment horizontal="left" vertical="center" wrapText="1"/>
    </xf>
    <xf numFmtId="0" fontId="3" fillId="0" borderId="30" xfId="89" applyFill="1" applyBorder="1" applyAlignment="1">
      <alignment horizontal="left" vertical="center" wrapText="1"/>
    </xf>
    <xf numFmtId="0" fontId="3" fillId="0" borderId="6" xfId="89" applyFill="1" applyBorder="1" applyAlignment="1">
      <alignment horizontal="center" vertical="center" wrapText="1"/>
    </xf>
    <xf numFmtId="166" fontId="3" fillId="0" borderId="6" xfId="89" applyNumberFormat="1" applyFill="1" applyBorder="1" applyAlignment="1">
      <alignment horizontal="right" vertical="center" wrapText="1"/>
    </xf>
    <xf numFmtId="0" fontId="20" fillId="0" borderId="32" xfId="89" applyFont="1" applyFill="1" applyBorder="1" applyAlignment="1">
      <alignment vertical="center" wrapText="1"/>
    </xf>
    <xf numFmtId="0" fontId="3" fillId="0" borderId="32" xfId="89" applyFill="1" applyBorder="1" applyAlignment="1">
      <alignment horizontal="left" vertical="center" wrapText="1"/>
    </xf>
    <xf numFmtId="49" fontId="26" fillId="11" borderId="6" xfId="89" applyNumberFormat="1" applyFont="1" applyFill="1" applyBorder="1" applyAlignment="1">
      <alignment horizontal="left" vertical="center" wrapText="1"/>
    </xf>
    <xf numFmtId="49" fontId="26" fillId="11" borderId="21" xfId="89" applyNumberFormat="1" applyFont="1" applyFill="1" applyBorder="1" applyAlignment="1">
      <alignment horizontal="left" vertical="center" wrapText="1"/>
    </xf>
    <xf numFmtId="0" fontId="3" fillId="11" borderId="21" xfId="89" applyFill="1" applyBorder="1" applyAlignment="1">
      <alignment horizontal="center" vertical="center" wrapText="1"/>
    </xf>
    <xf numFmtId="0" fontId="3" fillId="11" borderId="23" xfId="89" applyFill="1" applyBorder="1" applyAlignment="1">
      <alignment horizontal="left" vertical="center" wrapText="1"/>
    </xf>
    <xf numFmtId="0" fontId="30" fillId="0" borderId="7" xfId="89" applyFont="1" applyBorder="1" applyAlignment="1">
      <alignment horizontal="left" vertical="center" wrapText="1"/>
    </xf>
    <xf numFmtId="0" fontId="26" fillId="11" borderId="32" xfId="89" applyFont="1" applyFill="1" applyBorder="1" applyAlignment="1">
      <alignment horizontal="left" vertical="center" wrapText="1"/>
    </xf>
    <xf numFmtId="49" fontId="26" fillId="0" borderId="5" xfId="89" applyNumberFormat="1" applyFont="1" applyFill="1" applyBorder="1" applyAlignment="1">
      <alignment horizontal="left" vertical="center" wrapText="1"/>
    </xf>
    <xf numFmtId="1" fontId="3" fillId="0" borderId="34" xfId="89" applyNumberFormat="1" applyFill="1" applyBorder="1" applyAlignment="1">
      <alignment horizontal="center" vertical="center" wrapText="1"/>
    </xf>
    <xf numFmtId="0" fontId="26" fillId="0" borderId="35" xfId="89" applyFont="1" applyFill="1" applyBorder="1" applyAlignment="1">
      <alignment horizontal="center" vertical="center" wrapText="1"/>
    </xf>
    <xf numFmtId="0" fontId="3" fillId="0" borderId="5" xfId="89" applyFill="1" applyBorder="1" applyAlignment="1">
      <alignment horizontal="center" vertical="center" wrapText="1"/>
    </xf>
    <xf numFmtId="0" fontId="26" fillId="0" borderId="3" xfId="89" applyFont="1" applyFill="1" applyBorder="1" applyAlignment="1">
      <alignment horizontal="center" vertical="center" wrapText="1"/>
    </xf>
    <xf numFmtId="0" fontId="26" fillId="0" borderId="34" xfId="89" applyFont="1" applyFill="1" applyBorder="1" applyAlignment="1">
      <alignment horizontal="left" vertical="center" wrapText="1"/>
    </xf>
    <xf numFmtId="0" fontId="3" fillId="0" borderId="38" xfId="89" applyFill="1" applyBorder="1" applyAlignment="1">
      <alignment horizontal="left" vertical="center" wrapText="1"/>
    </xf>
    <xf numFmtId="0" fontId="3" fillId="0" borderId="8" xfId="89" applyFill="1" applyBorder="1" applyAlignment="1">
      <alignment horizontal="left" vertical="center" wrapText="1"/>
    </xf>
    <xf numFmtId="166" fontId="3" fillId="0" borderId="5" xfId="89" applyNumberFormat="1" applyFill="1" applyBorder="1" applyAlignment="1">
      <alignment horizontal="right" vertical="center" wrapText="1"/>
    </xf>
    <xf numFmtId="0" fontId="26" fillId="0" borderId="37" xfId="89" applyFont="1" applyFill="1" applyBorder="1" applyAlignment="1">
      <alignment horizontal="left" vertical="center" wrapText="1"/>
    </xf>
    <xf numFmtId="0" fontId="3" fillId="0" borderId="36" xfId="89" applyFill="1" applyBorder="1" applyAlignment="1">
      <alignment horizontal="left" vertical="center" wrapText="1"/>
    </xf>
    <xf numFmtId="0" fontId="3" fillId="0" borderId="0" xfId="89" applyFill="1" applyAlignment="1">
      <alignment horizontal="left" vertical="center" wrapText="1"/>
    </xf>
    <xf numFmtId="0" fontId="20" fillId="11" borderId="32" xfId="89" applyFont="1" applyFill="1" applyBorder="1" applyAlignment="1">
      <alignment horizontal="left" vertical="center" wrapText="1"/>
    </xf>
    <xf numFmtId="0" fontId="26" fillId="11" borderId="24" xfId="89" applyFont="1" applyFill="1" applyBorder="1" applyAlignment="1">
      <alignment horizontal="left" vertical="center" wrapText="1"/>
    </xf>
    <xf numFmtId="0" fontId="3" fillId="11" borderId="28" xfId="89" applyFill="1" applyBorder="1" applyAlignment="1">
      <alignment horizontal="left" vertical="center" wrapText="1"/>
    </xf>
    <xf numFmtId="0" fontId="20" fillId="11" borderId="28" xfId="89" applyFont="1" applyFill="1" applyBorder="1" applyAlignment="1">
      <alignment horizontal="left" vertical="center" wrapText="1"/>
    </xf>
    <xf numFmtId="0" fontId="20" fillId="11" borderId="29" xfId="89" applyFont="1" applyFill="1" applyBorder="1" applyAlignment="1">
      <alignment horizontal="center" vertical="center" wrapText="1"/>
    </xf>
    <xf numFmtId="0" fontId="20" fillId="11" borderId="38" xfId="89" applyFont="1" applyFill="1" applyBorder="1" applyAlignment="1">
      <alignment horizontal="left" vertical="center" wrapText="1"/>
    </xf>
    <xf numFmtId="0" fontId="20" fillId="2" borderId="26" xfId="89" applyFont="1" applyFill="1" applyBorder="1" applyAlignment="1">
      <alignment horizontal="left" vertical="center" wrapText="1"/>
    </xf>
    <xf numFmtId="0" fontId="20" fillId="2" borderId="36" xfId="89" applyFont="1" applyFill="1" applyBorder="1" applyAlignment="1">
      <alignment horizontal="left" vertical="center" wrapText="1"/>
    </xf>
    <xf numFmtId="0" fontId="33" fillId="0" borderId="0" xfId="89" applyFont="1" applyAlignment="1">
      <alignment horizontal="center" vertical="center"/>
    </xf>
    <xf numFmtId="0" fontId="34" fillId="0" borderId="0" xfId="89" applyFont="1" applyAlignment="1">
      <alignment horizontal="center" vertical="center"/>
    </xf>
    <xf numFmtId="1" fontId="28" fillId="0" borderId="20" xfId="89" applyNumberFormat="1" applyFont="1" applyBorder="1" applyAlignment="1">
      <alignment horizontal="center" vertical="center" wrapText="1"/>
    </xf>
    <xf numFmtId="0" fontId="23" fillId="0" borderId="0" xfId="89" applyFont="1" applyAlignment="1">
      <alignment vertical="center" wrapText="1"/>
    </xf>
    <xf numFmtId="0" fontId="2" fillId="0" borderId="30" xfId="89" applyFont="1" applyFill="1" applyBorder="1" applyAlignment="1">
      <alignment horizontal="left" vertical="center" wrapText="1"/>
    </xf>
    <xf numFmtId="0" fontId="2" fillId="0" borderId="3" xfId="89" applyFont="1" applyFill="1" applyBorder="1" applyAlignment="1">
      <alignment horizontal="left" vertical="center" wrapText="1"/>
    </xf>
    <xf numFmtId="0" fontId="29" fillId="0" borderId="34" xfId="89" applyFont="1" applyBorder="1" applyAlignment="1">
      <alignment horizontal="center" vertical="center" wrapText="1"/>
    </xf>
    <xf numFmtId="0" fontId="29" fillId="0" borderId="22" xfId="89" applyFont="1" applyBorder="1" applyAlignment="1">
      <alignment horizontal="center" vertical="center" wrapText="1"/>
    </xf>
    <xf numFmtId="166" fontId="29" fillId="0" borderId="22" xfId="89" applyNumberFormat="1" applyFont="1" applyBorder="1" applyAlignment="1">
      <alignment horizontal="center" vertical="center" wrapText="1"/>
    </xf>
    <xf numFmtId="166" fontId="28" fillId="0" borderId="5" xfId="89" applyNumberFormat="1" applyFont="1" applyBorder="1" applyAlignment="1">
      <alignment horizontal="center" vertical="center" wrapText="1"/>
    </xf>
    <xf numFmtId="166" fontId="28" fillId="0" borderId="11" xfId="89" applyNumberFormat="1" applyFont="1" applyBorder="1" applyAlignment="1">
      <alignment horizontal="center" vertical="center" wrapText="1"/>
    </xf>
    <xf numFmtId="0" fontId="28" fillId="0" borderId="35" xfId="89" applyFont="1" applyBorder="1" applyAlignment="1">
      <alignment horizontal="center" vertical="center" wrapText="1"/>
    </xf>
    <xf numFmtId="0" fontId="28" fillId="0" borderId="23" xfId="89" applyFont="1" applyBorder="1" applyAlignment="1">
      <alignment horizontal="center" vertical="center" wrapText="1"/>
    </xf>
    <xf numFmtId="166" fontId="28" fillId="0" borderId="23" xfId="89" applyNumberFormat="1" applyFont="1" applyBorder="1" applyAlignment="1">
      <alignment horizontal="center" vertical="center" wrapText="1"/>
    </xf>
    <xf numFmtId="166" fontId="29" fillId="0" borderId="6" xfId="89" applyNumberFormat="1" applyFont="1" applyBorder="1" applyAlignment="1">
      <alignment horizontal="center" vertical="center" wrapText="1"/>
    </xf>
    <xf numFmtId="166" fontId="29" fillId="0" borderId="29" xfId="89" applyNumberFormat="1" applyFont="1" applyBorder="1" applyAlignment="1">
      <alignment horizontal="center" vertical="center" wrapText="1"/>
    </xf>
    <xf numFmtId="166" fontId="28" fillId="0" borderId="30" xfId="89" applyNumberFormat="1" applyFont="1" applyBorder="1" applyAlignment="1">
      <alignment horizontal="center" vertical="center" wrapText="1"/>
    </xf>
    <xf numFmtId="166" fontId="28" fillId="0" borderId="9" xfId="89" applyNumberFormat="1" applyFont="1" applyBorder="1" applyAlignment="1">
      <alignment horizontal="center" vertical="center" wrapText="1"/>
    </xf>
    <xf numFmtId="166" fontId="29" fillId="0" borderId="5" xfId="89" applyNumberFormat="1" applyFont="1" applyBorder="1" applyAlignment="1">
      <alignment horizontal="center" vertical="center" wrapText="1"/>
    </xf>
    <xf numFmtId="1" fontId="28" fillId="0" borderId="39" xfId="89" applyNumberFormat="1" applyFont="1" applyBorder="1" applyAlignment="1">
      <alignment horizontal="center" vertical="center" wrapText="1"/>
    </xf>
    <xf numFmtId="166" fontId="29" fillId="0" borderId="40" xfId="89" applyNumberFormat="1" applyFont="1" applyBorder="1" applyAlignment="1">
      <alignment horizontal="center" vertical="center" wrapText="1"/>
    </xf>
    <xf numFmtId="166" fontId="29" fillId="0" borderId="43" xfId="89" applyNumberFormat="1" applyFont="1" applyBorder="1" applyAlignment="1">
      <alignment horizontal="center" vertical="center" wrapText="1"/>
    </xf>
    <xf numFmtId="166" fontId="28" fillId="0" borderId="39" xfId="89" applyNumberFormat="1" applyFont="1" applyBorder="1" applyAlignment="1">
      <alignment horizontal="center" vertical="center" wrapText="1"/>
    </xf>
    <xf numFmtId="166" fontId="28" fillId="0" borderId="41" xfId="89" applyNumberFormat="1" applyFont="1" applyBorder="1" applyAlignment="1">
      <alignment horizontal="center" vertical="center" wrapText="1"/>
    </xf>
    <xf numFmtId="0" fontId="35" fillId="10" borderId="39" xfId="89" applyFont="1" applyFill="1" applyBorder="1" applyAlignment="1">
      <alignment horizontal="center" vertical="center" wrapText="1"/>
    </xf>
    <xf numFmtId="0" fontId="35" fillId="10" borderId="40" xfId="89" applyFont="1" applyFill="1" applyBorder="1" applyAlignment="1">
      <alignment horizontal="center" vertical="center" wrapText="1"/>
    </xf>
    <xf numFmtId="0" fontId="35" fillId="10" borderId="43" xfId="89" applyFont="1" applyFill="1" applyBorder="1" applyAlignment="1">
      <alignment horizontal="center" vertical="center" wrapText="1"/>
    </xf>
    <xf numFmtId="0" fontId="35" fillId="10" borderId="41" xfId="89" applyFont="1" applyFill="1" applyBorder="1" applyAlignment="1">
      <alignment horizontal="center" vertical="center" wrapText="1"/>
    </xf>
    <xf numFmtId="0" fontId="3" fillId="0" borderId="3" xfId="89" applyFill="1" applyBorder="1" applyAlignment="1">
      <alignment horizontal="center" vertical="center" wrapText="1"/>
    </xf>
    <xf numFmtId="0" fontId="35" fillId="10" borderId="44" xfId="89" applyFont="1" applyFill="1" applyBorder="1" applyAlignment="1">
      <alignment horizontal="center" vertical="center" wrapText="1"/>
    </xf>
    <xf numFmtId="0" fontId="28" fillId="0" borderId="46" xfId="89" applyFont="1" applyFill="1" applyBorder="1" applyAlignment="1">
      <alignment horizontal="center" vertical="center"/>
    </xf>
    <xf numFmtId="0" fontId="28" fillId="12" borderId="13" xfId="89" applyFont="1" applyFill="1" applyBorder="1" applyAlignment="1">
      <alignment horizontal="center" vertical="center"/>
    </xf>
    <xf numFmtId="1" fontId="28" fillId="12" borderId="44" xfId="89" applyNumberFormat="1" applyFont="1" applyFill="1" applyBorder="1" applyAlignment="1">
      <alignment horizontal="center" vertical="center" wrapText="1"/>
    </xf>
    <xf numFmtId="0" fontId="37" fillId="0" borderId="0" xfId="89" applyFont="1" applyAlignment="1">
      <alignment horizontal="center" vertical="center"/>
    </xf>
    <xf numFmtId="166" fontId="28" fillId="0" borderId="6" xfId="89" applyNumberFormat="1" applyFont="1" applyBorder="1" applyAlignment="1">
      <alignment horizontal="center" vertical="center" wrapText="1"/>
    </xf>
    <xf numFmtId="166" fontId="29" fillId="0" borderId="40" xfId="89" applyNumberFormat="1" applyFont="1" applyFill="1" applyBorder="1" applyAlignment="1">
      <alignment horizontal="center" vertical="center" wrapText="1"/>
    </xf>
    <xf numFmtId="166" fontId="28" fillId="0" borderId="40" xfId="89" applyNumberFormat="1" applyFont="1" applyBorder="1" applyAlignment="1">
      <alignment horizontal="center" vertical="center" wrapText="1"/>
    </xf>
    <xf numFmtId="0" fontId="26" fillId="11" borderId="29" xfId="89" applyFont="1" applyFill="1" applyBorder="1" applyAlignment="1">
      <alignment horizontal="left" vertical="center" wrapText="1"/>
    </xf>
    <xf numFmtId="0" fontId="26" fillId="11" borderId="38" xfId="89" applyFont="1" applyFill="1" applyBorder="1" applyAlignment="1">
      <alignment horizontal="left" vertical="center" wrapText="1"/>
    </xf>
    <xf numFmtId="0" fontId="26" fillId="11" borderId="30" xfId="89" applyFont="1" applyFill="1" applyBorder="1" applyAlignment="1">
      <alignment horizontal="left" vertical="center" wrapText="1"/>
    </xf>
    <xf numFmtId="0" fontId="26" fillId="11" borderId="6" xfId="89" applyFont="1" applyFill="1" applyBorder="1" applyAlignment="1">
      <alignment horizontal="center" vertical="center" wrapText="1"/>
    </xf>
    <xf numFmtId="166" fontId="26" fillId="11" borderId="6" xfId="89" applyNumberFormat="1" applyFont="1" applyFill="1" applyBorder="1" applyAlignment="1">
      <alignment horizontal="right" vertical="center" wrapText="1"/>
    </xf>
    <xf numFmtId="0" fontId="26" fillId="11" borderId="33" xfId="89" applyFont="1" applyFill="1" applyBorder="1" applyAlignment="1">
      <alignment vertical="center" wrapText="1"/>
    </xf>
    <xf numFmtId="0" fontId="26" fillId="11" borderId="35" xfId="89" applyFont="1" applyFill="1" applyBorder="1" applyAlignment="1">
      <alignment horizontal="center" vertical="center" wrapText="1"/>
    </xf>
    <xf numFmtId="0" fontId="26" fillId="11" borderId="5" xfId="89" applyFont="1" applyFill="1" applyBorder="1" applyAlignment="1">
      <alignment horizontal="center" vertical="center" wrapText="1"/>
    </xf>
    <xf numFmtId="0" fontId="3" fillId="11" borderId="38" xfId="89" applyFill="1" applyBorder="1" applyAlignment="1">
      <alignment horizontal="left" vertical="center" wrapText="1"/>
    </xf>
    <xf numFmtId="166" fontId="3" fillId="11" borderId="21" xfId="89" applyNumberFormat="1" applyFill="1" applyBorder="1" applyAlignment="1">
      <alignment horizontal="right" vertical="center" wrapText="1"/>
    </xf>
    <xf numFmtId="0" fontId="20" fillId="11" borderId="23" xfId="89" applyFont="1" applyFill="1" applyBorder="1" applyAlignment="1">
      <alignment horizontal="left" vertical="center" wrapText="1"/>
    </xf>
    <xf numFmtId="0" fontId="26" fillId="11" borderId="37" xfId="89" applyFont="1" applyFill="1" applyBorder="1" applyAlignment="1">
      <alignment vertical="center" wrapText="1"/>
    </xf>
    <xf numFmtId="0" fontId="26" fillId="11" borderId="23" xfId="89" applyFont="1" applyFill="1" applyBorder="1" applyAlignment="1">
      <alignment horizontal="center" vertical="center" wrapText="1"/>
    </xf>
    <xf numFmtId="0" fontId="26" fillId="11" borderId="21" xfId="89" applyFont="1" applyFill="1" applyBorder="1" applyAlignment="1">
      <alignment horizontal="center" vertical="center" wrapText="1"/>
    </xf>
    <xf numFmtId="0" fontId="26" fillId="11" borderId="31" xfId="89" applyFont="1" applyFill="1" applyBorder="1" applyAlignment="1">
      <alignment horizontal="left" vertical="center" wrapText="1"/>
    </xf>
    <xf numFmtId="0" fontId="26" fillId="11" borderId="22" xfId="89" applyFont="1" applyFill="1" applyBorder="1" applyAlignment="1">
      <alignment horizontal="left" vertical="center" wrapText="1"/>
    </xf>
    <xf numFmtId="0" fontId="26" fillId="11" borderId="32" xfId="89" applyFont="1" applyFill="1" applyBorder="1" applyAlignment="1">
      <alignment vertical="center" wrapText="1"/>
    </xf>
    <xf numFmtId="0" fontId="26" fillId="13" borderId="20" xfId="89" applyFont="1" applyFill="1" applyBorder="1" applyAlignment="1">
      <alignment horizontal="left" vertical="center" wrapText="1"/>
    </xf>
    <xf numFmtId="49" fontId="26" fillId="13" borderId="6" xfId="89" applyNumberFormat="1" applyFont="1" applyFill="1" applyBorder="1" applyAlignment="1">
      <alignment horizontal="left" vertical="center" wrapText="1"/>
    </xf>
    <xf numFmtId="1" fontId="26" fillId="13" borderId="29" xfId="89" applyNumberFormat="1" applyFont="1" applyFill="1" applyBorder="1" applyAlignment="1">
      <alignment horizontal="center" vertical="center" wrapText="1"/>
    </xf>
    <xf numFmtId="0" fontId="26" fillId="13" borderId="23" xfId="89" applyFont="1" applyFill="1" applyBorder="1" applyAlignment="1">
      <alignment horizontal="center" vertical="center" wrapText="1"/>
    </xf>
    <xf numFmtId="0" fontId="26" fillId="13" borderId="21" xfId="89" applyFont="1" applyFill="1" applyBorder="1" applyAlignment="1">
      <alignment horizontal="center" vertical="center" wrapText="1"/>
    </xf>
    <xf numFmtId="0" fontId="26" fillId="11" borderId="20" xfId="89" applyFont="1" applyFill="1" applyBorder="1" applyAlignment="1">
      <alignment horizontal="left" vertical="center" wrapText="1"/>
    </xf>
    <xf numFmtId="0" fontId="39" fillId="11" borderId="28" xfId="90" applyFont="1" applyFill="1" applyBorder="1" applyAlignment="1">
      <alignment horizontal="left" vertical="center" wrapText="1"/>
    </xf>
    <xf numFmtId="0" fontId="26" fillId="2" borderId="35" xfId="89" applyFont="1" applyFill="1" applyBorder="1" applyAlignment="1">
      <alignment horizontal="center" vertical="center" wrapText="1"/>
    </xf>
    <xf numFmtId="0" fontId="3" fillId="2" borderId="5" xfId="89" applyFill="1" applyBorder="1" applyAlignment="1">
      <alignment horizontal="center" vertical="center" wrapText="1"/>
    </xf>
    <xf numFmtId="166" fontId="3" fillId="2" borderId="5" xfId="89" applyNumberFormat="1" applyFill="1" applyBorder="1" applyAlignment="1">
      <alignment horizontal="right" vertical="center" wrapText="1"/>
    </xf>
    <xf numFmtId="49" fontId="20" fillId="2" borderId="5" xfId="89" applyNumberFormat="1" applyFont="1" applyFill="1" applyBorder="1" applyAlignment="1">
      <alignment horizontal="left" vertical="center" wrapText="1"/>
    </xf>
    <xf numFmtId="0" fontId="20" fillId="2" borderId="34" xfId="89" applyFont="1" applyFill="1" applyBorder="1" applyAlignment="1">
      <alignment horizontal="left" vertical="center" wrapText="1"/>
    </xf>
    <xf numFmtId="0" fontId="20" fillId="2" borderId="35" xfId="89" applyFont="1" applyFill="1" applyBorder="1" applyAlignment="1">
      <alignment horizontal="center" vertical="center" wrapText="1"/>
    </xf>
    <xf numFmtId="0" fontId="26" fillId="2" borderId="3" xfId="89" applyFont="1" applyFill="1" applyBorder="1" applyAlignment="1">
      <alignment horizontal="left" vertical="center" wrapText="1"/>
    </xf>
    <xf numFmtId="49" fontId="39" fillId="2" borderId="5" xfId="90" applyNumberFormat="1" applyFont="1" applyFill="1" applyBorder="1" applyAlignment="1">
      <alignment horizontal="left" vertical="center" wrapText="1"/>
    </xf>
    <xf numFmtId="0" fontId="39" fillId="2" borderId="34" xfId="90" applyFont="1" applyFill="1" applyBorder="1" applyAlignment="1">
      <alignment horizontal="left" vertical="center" wrapText="1"/>
    </xf>
    <xf numFmtId="49" fontId="20" fillId="0" borderId="0" xfId="89" applyNumberFormat="1" applyFont="1" applyAlignment="1">
      <alignment horizontal="left" vertical="center"/>
    </xf>
    <xf numFmtId="0" fontId="19" fillId="0" borderId="0" xfId="0" applyFont="1"/>
    <xf numFmtId="0" fontId="0" fillId="0" borderId="0" xfId="0" applyFont="1"/>
    <xf numFmtId="166" fontId="30" fillId="0" borderId="33" xfId="89" applyNumberFormat="1" applyFont="1" applyFill="1" applyBorder="1" applyAlignment="1">
      <alignment horizontal="right" vertical="center" wrapText="1"/>
    </xf>
    <xf numFmtId="49" fontId="25" fillId="0" borderId="0" xfId="89" applyNumberFormat="1" applyFont="1" applyAlignment="1">
      <alignment horizontal="left" vertical="center"/>
    </xf>
    <xf numFmtId="0" fontId="25" fillId="0" borderId="0" xfId="89" applyFont="1"/>
    <xf numFmtId="0" fontId="40" fillId="0" borderId="0" xfId="0" applyFont="1" applyAlignment="1">
      <alignment horizontal="left" vertical="center"/>
    </xf>
    <xf numFmtId="0" fontId="41" fillId="0" borderId="0" xfId="0" applyFont="1" applyAlignment="1">
      <alignment horizontal="left" vertical="center"/>
    </xf>
    <xf numFmtId="49" fontId="22" fillId="0" borderId="0" xfId="0" applyNumberFormat="1" applyFont="1" applyAlignment="1">
      <alignment horizontal="center" vertical="center" wrapText="1"/>
    </xf>
    <xf numFmtId="49" fontId="22" fillId="0" borderId="0" xfId="0" applyNumberFormat="1" applyFont="1" applyAlignment="1">
      <alignment wrapText="1"/>
    </xf>
    <xf numFmtId="49" fontId="27" fillId="0" borderId="0" xfId="0" applyNumberFormat="1" applyFont="1" applyAlignment="1">
      <alignment wrapText="1"/>
    </xf>
    <xf numFmtId="0" fontId="27" fillId="0" borderId="0" xfId="0" applyFont="1" applyAlignment="1">
      <alignment horizontal="center" vertical="center"/>
    </xf>
    <xf numFmtId="4" fontId="27" fillId="0" borderId="0" xfId="0" applyNumberFormat="1" applyFont="1"/>
    <xf numFmtId="0" fontId="27" fillId="0" borderId="0" xfId="0" applyFont="1"/>
    <xf numFmtId="0" fontId="0" fillId="0" borderId="0" xfId="0" applyBorder="1"/>
    <xf numFmtId="49" fontId="26" fillId="2" borderId="18" xfId="89" applyNumberFormat="1" applyFont="1" applyFill="1" applyBorder="1" applyAlignment="1">
      <alignment horizontal="left" vertical="center" wrapText="1"/>
    </xf>
    <xf numFmtId="0" fontId="26" fillId="2" borderId="11" xfId="89" applyFont="1" applyFill="1" applyBorder="1" applyAlignment="1">
      <alignment horizontal="center" vertical="center" wrapText="1"/>
    </xf>
    <xf numFmtId="3" fontId="26" fillId="2" borderId="17" xfId="89" applyNumberFormat="1" applyFont="1" applyFill="1" applyBorder="1" applyAlignment="1">
      <alignment horizontal="center" vertical="center" wrapText="1"/>
    </xf>
    <xf numFmtId="0" fontId="26" fillId="2" borderId="19" xfId="89" applyFont="1" applyFill="1" applyBorder="1" applyAlignment="1">
      <alignment horizontal="left" vertical="center" wrapText="1"/>
    </xf>
    <xf numFmtId="0" fontId="28" fillId="0" borderId="0" xfId="89" applyFont="1" applyFill="1" applyBorder="1"/>
    <xf numFmtId="0" fontId="28" fillId="0" borderId="0" xfId="89" applyFont="1" applyFill="1" applyBorder="1" applyAlignment="1">
      <alignment horizontal="center" vertical="center"/>
    </xf>
    <xf numFmtId="1" fontId="26" fillId="11" borderId="22" xfId="89" applyNumberFormat="1" applyFont="1" applyFill="1" applyBorder="1" applyAlignment="1">
      <alignment horizontal="center" vertical="center" wrapText="1"/>
    </xf>
    <xf numFmtId="0" fontId="26" fillId="11" borderId="3" xfId="89" applyFont="1" applyFill="1" applyBorder="1" applyAlignment="1">
      <alignment horizontal="center" vertical="center" wrapText="1"/>
    </xf>
    <xf numFmtId="167" fontId="30" fillId="11" borderId="21" xfId="89" applyNumberFormat="1" applyFont="1" applyFill="1" applyBorder="1" applyAlignment="1">
      <alignment horizontal="center" vertical="center" wrapText="1"/>
    </xf>
    <xf numFmtId="0" fontId="26" fillId="11" borderId="28" xfId="89" applyFont="1" applyFill="1" applyBorder="1" applyAlignment="1">
      <alignment horizontal="left" vertical="center" wrapText="1"/>
    </xf>
    <xf numFmtId="0" fontId="26" fillId="11" borderId="23" xfId="89" applyFont="1" applyFill="1" applyBorder="1" applyAlignment="1">
      <alignment horizontal="left" vertical="center" wrapText="1"/>
    </xf>
    <xf numFmtId="166" fontId="26" fillId="11" borderId="21" xfId="89" applyNumberFormat="1" applyFont="1" applyFill="1" applyBorder="1" applyAlignment="1">
      <alignment horizontal="right" vertical="center" wrapText="1"/>
    </xf>
    <xf numFmtId="0" fontId="26" fillId="11" borderId="34" xfId="89" applyFont="1" applyFill="1" applyBorder="1" applyAlignment="1">
      <alignment horizontal="center" vertical="center" wrapText="1"/>
    </xf>
    <xf numFmtId="0" fontId="26" fillId="11" borderId="36" xfId="89" applyFont="1" applyFill="1" applyBorder="1" applyAlignment="1">
      <alignment horizontal="left" vertical="center" wrapText="1"/>
    </xf>
    <xf numFmtId="0" fontId="26" fillId="11" borderId="48" xfId="89" applyFont="1" applyFill="1" applyBorder="1" applyAlignment="1">
      <alignment horizontal="left" vertical="center" wrapText="1"/>
    </xf>
    <xf numFmtId="0" fontId="26" fillId="11" borderId="3" xfId="89" applyFont="1" applyFill="1" applyBorder="1" applyAlignment="1">
      <alignment horizontal="left" vertical="center" wrapText="1"/>
    </xf>
    <xf numFmtId="49" fontId="26" fillId="11" borderId="5" xfId="89" applyNumberFormat="1" applyFont="1" applyFill="1" applyBorder="1" applyAlignment="1">
      <alignment horizontal="left" vertical="center" wrapText="1"/>
    </xf>
    <xf numFmtId="1" fontId="26" fillId="11" borderId="34" xfId="89" applyNumberFormat="1" applyFont="1" applyFill="1" applyBorder="1" applyAlignment="1">
      <alignment horizontal="center" vertical="center" wrapText="1"/>
    </xf>
    <xf numFmtId="0" fontId="26" fillId="11" borderId="35" xfId="89" applyFont="1" applyFill="1" applyBorder="1" applyAlignment="1">
      <alignment horizontal="left" vertical="center" wrapText="1"/>
    </xf>
    <xf numFmtId="166" fontId="26" fillId="11" borderId="5" xfId="89" applyNumberFormat="1" applyFont="1" applyFill="1" applyBorder="1" applyAlignment="1">
      <alignment horizontal="right" vertical="center" wrapText="1"/>
    </xf>
    <xf numFmtId="0" fontId="26" fillId="11" borderId="2" xfId="89" applyFont="1" applyFill="1" applyBorder="1" applyAlignment="1">
      <alignment horizontal="left" vertical="center" wrapText="1"/>
    </xf>
    <xf numFmtId="1" fontId="26" fillId="11" borderId="29" xfId="89" applyNumberFormat="1" applyFont="1" applyFill="1" applyBorder="1" applyAlignment="1">
      <alignment horizontal="center" vertical="center" wrapText="1"/>
    </xf>
    <xf numFmtId="1" fontId="26" fillId="11" borderId="24" xfId="89" applyNumberFormat="1" applyFont="1" applyFill="1" applyBorder="1" applyAlignment="1">
      <alignment horizontal="center" vertical="center" wrapText="1"/>
    </xf>
    <xf numFmtId="0" fontId="26" fillId="13" borderId="38" xfId="89" applyFont="1" applyFill="1" applyBorder="1" applyAlignment="1">
      <alignment horizontal="left" vertical="center" wrapText="1"/>
    </xf>
    <xf numFmtId="0" fontId="26" fillId="11" borderId="27" xfId="89" applyFont="1" applyFill="1" applyBorder="1" applyAlignment="1">
      <alignment horizontal="left" vertical="center" wrapText="1"/>
    </xf>
    <xf numFmtId="0" fontId="26" fillId="7" borderId="20" xfId="89" applyFont="1" applyFill="1" applyBorder="1" applyAlignment="1">
      <alignment horizontal="left" vertical="center" wrapText="1"/>
    </xf>
    <xf numFmtId="49" fontId="26" fillId="7" borderId="21" xfId="89" applyNumberFormat="1" applyFont="1" applyFill="1" applyBorder="1" applyAlignment="1">
      <alignment horizontal="left" vertical="center" wrapText="1"/>
    </xf>
    <xf numFmtId="14" fontId="26" fillId="7" borderId="22" xfId="89" applyNumberFormat="1" applyFont="1" applyFill="1" applyBorder="1" applyAlignment="1">
      <alignment horizontal="center" vertical="center" wrapText="1"/>
    </xf>
    <xf numFmtId="0" fontId="26" fillId="7" borderId="23" xfId="89" applyFont="1" applyFill="1" applyBorder="1" applyAlignment="1">
      <alignment horizontal="center" vertical="center" wrapText="1"/>
    </xf>
    <xf numFmtId="0" fontId="26" fillId="7" borderId="21" xfId="89" applyFont="1" applyFill="1" applyBorder="1" applyAlignment="1">
      <alignment horizontal="center" vertical="center" wrapText="1"/>
    </xf>
    <xf numFmtId="167" fontId="30" fillId="7" borderId="21" xfId="89" applyNumberFormat="1" applyFont="1" applyFill="1" applyBorder="1" applyAlignment="1">
      <alignment horizontal="center" vertical="center" wrapText="1"/>
    </xf>
    <xf numFmtId="0" fontId="26" fillId="7" borderId="24" xfId="89" applyFont="1" applyFill="1" applyBorder="1" applyAlignment="1">
      <alignment horizontal="center" vertical="center" wrapText="1"/>
    </xf>
    <xf numFmtId="0" fontId="26" fillId="7" borderId="25" xfId="89" applyFont="1" applyFill="1" applyBorder="1" applyAlignment="1">
      <alignment horizontal="left" vertical="center" wrapText="1"/>
    </xf>
    <xf numFmtId="0" fontId="30" fillId="7" borderId="20" xfId="89" applyFont="1" applyFill="1" applyBorder="1" applyAlignment="1">
      <alignment horizontal="left" vertical="center" wrapText="1"/>
    </xf>
    <xf numFmtId="0" fontId="26" fillId="7" borderId="24" xfId="89" applyFont="1" applyFill="1" applyBorder="1" applyAlignment="1">
      <alignment horizontal="left" vertical="center" wrapText="1"/>
    </xf>
    <xf numFmtId="0" fontId="26" fillId="7" borderId="23" xfId="89" applyFont="1" applyFill="1" applyBorder="1" applyAlignment="1">
      <alignment horizontal="left" vertical="center" wrapText="1"/>
    </xf>
    <xf numFmtId="166" fontId="26" fillId="7" borderId="21" xfId="89" applyNumberFormat="1" applyFont="1" applyFill="1" applyBorder="1" applyAlignment="1">
      <alignment horizontal="right" vertical="center" wrapText="1"/>
    </xf>
    <xf numFmtId="0" fontId="26" fillId="7" borderId="28" xfId="89" applyFont="1" applyFill="1" applyBorder="1" applyAlignment="1">
      <alignment vertical="center" wrapText="1"/>
    </xf>
    <xf numFmtId="0" fontId="26" fillId="7" borderId="26" xfId="89" applyFont="1" applyFill="1" applyBorder="1" applyAlignment="1">
      <alignment horizontal="left" vertical="center" wrapText="1"/>
    </xf>
    <xf numFmtId="0" fontId="26" fillId="7" borderId="30" xfId="89" applyFont="1" applyFill="1" applyBorder="1" applyAlignment="1">
      <alignment horizontal="left" vertical="center" wrapText="1"/>
    </xf>
    <xf numFmtId="0" fontId="38" fillId="7" borderId="28" xfId="89" applyFont="1" applyFill="1" applyBorder="1" applyAlignment="1">
      <alignment vertical="center" wrapText="1"/>
    </xf>
    <xf numFmtId="166" fontId="26" fillId="7" borderId="21" xfId="89" applyNumberFormat="1" applyFont="1" applyFill="1" applyBorder="1" applyAlignment="1">
      <alignment horizontal="center" vertical="center" wrapText="1"/>
    </xf>
    <xf numFmtId="0" fontId="26" fillId="7" borderId="26" xfId="89" applyFont="1" applyFill="1" applyBorder="1" applyAlignment="1">
      <alignment vertical="center" wrapText="1"/>
    </xf>
    <xf numFmtId="167" fontId="30" fillId="0" borderId="21" xfId="89" applyNumberFormat="1" applyFont="1" applyFill="1" applyBorder="1" applyAlignment="1">
      <alignment horizontal="center" vertical="center" wrapText="1"/>
    </xf>
    <xf numFmtId="0" fontId="26" fillId="0" borderId="36" xfId="89" applyFont="1" applyFill="1" applyBorder="1" applyAlignment="1">
      <alignment horizontal="left" vertical="center" wrapText="1"/>
    </xf>
    <xf numFmtId="0" fontId="26" fillId="11" borderId="22" xfId="89" applyFont="1" applyFill="1" applyBorder="1" applyAlignment="1">
      <alignment horizontal="center" vertical="center" wrapText="1"/>
    </xf>
    <xf numFmtId="1" fontId="26" fillId="2" borderId="34" xfId="89" applyNumberFormat="1" applyFont="1" applyFill="1" applyBorder="1" applyAlignment="1">
      <alignment horizontal="center" vertical="center" wrapText="1"/>
    </xf>
    <xf numFmtId="0" fontId="26" fillId="2" borderId="3" xfId="89" applyFont="1" applyFill="1" applyBorder="1" applyAlignment="1">
      <alignment horizontal="center" vertical="center" wrapText="1"/>
    </xf>
    <xf numFmtId="167" fontId="30" fillId="2" borderId="21" xfId="89" applyNumberFormat="1" applyFont="1" applyFill="1" applyBorder="1" applyAlignment="1">
      <alignment horizontal="center" vertical="center" wrapText="1"/>
    </xf>
    <xf numFmtId="0" fontId="26" fillId="2" borderId="36" xfId="89" applyFont="1" applyFill="1" applyBorder="1" applyAlignment="1">
      <alignment horizontal="left" vertical="center" wrapText="1"/>
    </xf>
    <xf numFmtId="0" fontId="26" fillId="0" borderId="3" xfId="89" applyFont="1" applyFill="1" applyBorder="1" applyAlignment="1">
      <alignment horizontal="left" vertical="center" wrapText="1"/>
    </xf>
    <xf numFmtId="0" fontId="26" fillId="2" borderId="5" xfId="89" applyFont="1" applyFill="1" applyBorder="1" applyAlignment="1">
      <alignment horizontal="center" vertical="center" wrapText="1"/>
    </xf>
    <xf numFmtId="0" fontId="30" fillId="0" borderId="15" xfId="89" applyFont="1" applyBorder="1" applyAlignment="1">
      <alignment horizontal="center" vertical="center" wrapText="1"/>
    </xf>
    <xf numFmtId="0" fontId="30" fillId="0" borderId="14" xfId="89" applyFont="1" applyBorder="1" applyAlignment="1">
      <alignment horizontal="center" vertical="center" wrapText="1"/>
    </xf>
    <xf numFmtId="49" fontId="30" fillId="0" borderId="15" xfId="89" applyNumberFormat="1" applyFont="1" applyBorder="1" applyAlignment="1">
      <alignment horizontal="center" vertical="center" wrapText="1"/>
    </xf>
    <xf numFmtId="0" fontId="30" fillId="0" borderId="16" xfId="89" applyFont="1" applyBorder="1" applyAlignment="1">
      <alignment horizontal="center" vertical="center" wrapText="1"/>
    </xf>
    <xf numFmtId="0" fontId="30" fillId="0" borderId="18" xfId="89" applyFont="1" applyBorder="1" applyAlignment="1">
      <alignment horizontal="center" vertical="center" wrapText="1"/>
    </xf>
    <xf numFmtId="0" fontId="43" fillId="2" borderId="34" xfId="90" applyFont="1" applyFill="1" applyBorder="1" applyAlignment="1">
      <alignment horizontal="left" vertical="center" wrapText="1"/>
    </xf>
    <xf numFmtId="166" fontId="26" fillId="2" borderId="21" xfId="89" applyNumberFormat="1" applyFont="1" applyFill="1" applyBorder="1" applyAlignment="1">
      <alignment horizontal="right" vertical="center" wrapText="1"/>
    </xf>
    <xf numFmtId="0" fontId="30" fillId="0" borderId="0" xfId="89" applyFont="1" applyFill="1" applyAlignment="1">
      <alignment horizontal="right" vertical="center"/>
    </xf>
    <xf numFmtId="0" fontId="44" fillId="0" borderId="0" xfId="89" applyFont="1" applyFill="1" applyAlignment="1">
      <alignment horizontal="right" vertical="center"/>
    </xf>
    <xf numFmtId="49" fontId="30" fillId="0" borderId="0" xfId="89" applyNumberFormat="1" applyFont="1" applyFill="1" applyAlignment="1">
      <alignment horizontal="right" vertical="center"/>
    </xf>
    <xf numFmtId="0" fontId="30" fillId="0" borderId="7" xfId="89" applyFont="1" applyFill="1" applyBorder="1" applyAlignment="1">
      <alignment horizontal="center" vertical="center" wrapText="1"/>
    </xf>
    <xf numFmtId="166" fontId="30" fillId="0" borderId="26" xfId="89" applyNumberFormat="1" applyFont="1" applyFill="1" applyBorder="1" applyAlignment="1">
      <alignment horizontal="right" vertical="center" wrapText="1"/>
    </xf>
    <xf numFmtId="166" fontId="30" fillId="0" borderId="32" xfId="89" applyNumberFormat="1" applyFont="1" applyFill="1" applyBorder="1" applyAlignment="1">
      <alignment horizontal="right" vertical="center" wrapText="1"/>
    </xf>
    <xf numFmtId="166" fontId="30" fillId="0" borderId="38" xfId="89" applyNumberFormat="1" applyFont="1" applyFill="1" applyBorder="1" applyAlignment="1">
      <alignment horizontal="right" vertical="center" wrapText="1"/>
    </xf>
    <xf numFmtId="166" fontId="30" fillId="0" borderId="27" xfId="89" applyNumberFormat="1" applyFont="1" applyFill="1" applyBorder="1" applyAlignment="1">
      <alignment horizontal="right" vertical="center" wrapText="1"/>
    </xf>
    <xf numFmtId="166" fontId="30" fillId="0" borderId="36" xfId="89" applyNumberFormat="1" applyFont="1" applyFill="1" applyBorder="1" applyAlignment="1">
      <alignment horizontal="right" vertical="center" wrapText="1"/>
    </xf>
    <xf numFmtId="166" fontId="30" fillId="0" borderId="28" xfId="89" applyNumberFormat="1" applyFont="1" applyFill="1" applyBorder="1" applyAlignment="1">
      <alignment horizontal="right" vertical="center" wrapText="1"/>
    </xf>
    <xf numFmtId="166" fontId="45" fillId="0" borderId="28" xfId="90" applyNumberFormat="1" applyFont="1" applyFill="1" applyBorder="1" applyAlignment="1">
      <alignment horizontal="right" vertical="center" wrapText="1"/>
    </xf>
    <xf numFmtId="0" fontId="26" fillId="2" borderId="26" xfId="89" applyFont="1" applyFill="1" applyBorder="1" applyAlignment="1">
      <alignment horizontal="left" vertical="center" wrapText="1"/>
    </xf>
    <xf numFmtId="0" fontId="30" fillId="2" borderId="17" xfId="89" applyFont="1" applyFill="1" applyBorder="1" applyAlignment="1">
      <alignment horizontal="left" vertical="center" wrapText="1"/>
    </xf>
    <xf numFmtId="14" fontId="26" fillId="2" borderId="11" xfId="89" applyNumberFormat="1" applyFont="1" applyFill="1" applyBorder="1" applyAlignment="1">
      <alignment horizontal="center" vertical="center" wrapText="1"/>
    </xf>
    <xf numFmtId="0" fontId="26" fillId="2" borderId="18" xfId="89" applyFont="1" applyFill="1" applyBorder="1" applyAlignment="1">
      <alignment horizontal="center" vertical="center" wrapText="1"/>
    </xf>
    <xf numFmtId="167" fontId="30" fillId="2" borderId="18" xfId="89" applyNumberFormat="1" applyFont="1" applyFill="1" applyBorder="1" applyAlignment="1">
      <alignment horizontal="center" vertical="center" wrapText="1"/>
    </xf>
    <xf numFmtId="0" fontId="26" fillId="2" borderId="21" xfId="89" applyFont="1" applyFill="1" applyBorder="1" applyAlignment="1">
      <alignment horizontal="center" vertical="center" wrapText="1"/>
    </xf>
    <xf numFmtId="0" fontId="26" fillId="2" borderId="35" xfId="89" applyFont="1" applyFill="1" applyBorder="1" applyAlignment="1">
      <alignment horizontal="left" vertical="center" wrapText="1"/>
    </xf>
    <xf numFmtId="166" fontId="26" fillId="2" borderId="22" xfId="89" applyNumberFormat="1" applyFont="1" applyFill="1" applyBorder="1" applyAlignment="1">
      <alignment horizontal="right" vertical="center" wrapText="1"/>
    </xf>
    <xf numFmtId="0" fontId="26" fillId="2" borderId="50" xfId="89" applyFont="1" applyFill="1" applyBorder="1" applyAlignment="1">
      <alignment horizontal="left" vertical="center" wrapText="1"/>
    </xf>
    <xf numFmtId="0" fontId="26" fillId="2" borderId="28" xfId="89" applyFont="1" applyFill="1" applyBorder="1" applyAlignment="1">
      <alignment vertical="center" wrapText="1"/>
    </xf>
    <xf numFmtId="0" fontId="38" fillId="12" borderId="12" xfId="89" applyFont="1" applyFill="1" applyBorder="1" applyAlignment="1">
      <alignment horizontal="left" vertical="center"/>
    </xf>
    <xf numFmtId="0" fontId="38" fillId="0" borderId="45" xfId="89" applyFont="1" applyFill="1" applyBorder="1" applyAlignment="1">
      <alignment horizontal="left" vertical="center"/>
    </xf>
    <xf numFmtId="0" fontId="38" fillId="0" borderId="0" xfId="89" applyFont="1"/>
    <xf numFmtId="0" fontId="44" fillId="0" borderId="0" xfId="89" applyFont="1"/>
    <xf numFmtId="0" fontId="46" fillId="8" borderId="21" xfId="89" applyFont="1" applyFill="1" applyBorder="1" applyAlignment="1">
      <alignment vertical="center" wrapText="1"/>
    </xf>
    <xf numFmtId="0" fontId="46" fillId="9" borderId="21" xfId="89" applyFont="1" applyFill="1" applyBorder="1" applyAlignment="1">
      <alignment vertical="center" wrapText="1"/>
    </xf>
    <xf numFmtId="166" fontId="38" fillId="14" borderId="31" xfId="0" applyNumberFormat="1" applyFont="1" applyFill="1" applyBorder="1"/>
    <xf numFmtId="2" fontId="38" fillId="14" borderId="31" xfId="0" applyNumberFormat="1" applyFont="1" applyFill="1" applyBorder="1" applyAlignment="1">
      <alignment horizontal="center" vertical="center"/>
    </xf>
    <xf numFmtId="166" fontId="38" fillId="14" borderId="25" xfId="0" applyNumberFormat="1" applyFont="1" applyFill="1" applyBorder="1"/>
    <xf numFmtId="2" fontId="38" fillId="14" borderId="25" xfId="0" applyNumberFormat="1" applyFont="1" applyFill="1" applyBorder="1" applyAlignment="1">
      <alignment horizontal="center" vertical="center"/>
    </xf>
    <xf numFmtId="166" fontId="38" fillId="14" borderId="0" xfId="0" applyNumberFormat="1" applyFont="1" applyFill="1" applyBorder="1"/>
    <xf numFmtId="2" fontId="38" fillId="14" borderId="0" xfId="0" applyNumberFormat="1" applyFont="1" applyFill="1" applyBorder="1" applyAlignment="1">
      <alignment horizontal="center" vertical="center"/>
    </xf>
    <xf numFmtId="4" fontId="38" fillId="0" borderId="0" xfId="0" applyNumberFormat="1" applyFont="1"/>
    <xf numFmtId="0" fontId="38" fillId="0" borderId="0" xfId="0" applyFont="1"/>
    <xf numFmtId="0" fontId="37" fillId="6" borderId="12" xfId="0" applyFont="1" applyFill="1" applyBorder="1" applyAlignment="1">
      <alignment horizontal="right" vertical="center"/>
    </xf>
    <xf numFmtId="0" fontId="37" fillId="6" borderId="13" xfId="0" applyFont="1" applyFill="1" applyBorder="1" applyAlignment="1">
      <alignment horizontal="center" vertical="center"/>
    </xf>
    <xf numFmtId="0" fontId="37" fillId="0" borderId="0" xfId="0" applyFont="1" applyFill="1" applyBorder="1" applyAlignment="1">
      <alignment horizontal="right" vertical="center"/>
    </xf>
    <xf numFmtId="0" fontId="37" fillId="0" borderId="0" xfId="0" applyFont="1" applyFill="1" applyBorder="1" applyAlignment="1">
      <alignment horizontal="center" vertical="center"/>
    </xf>
    <xf numFmtId="0" fontId="38" fillId="0" borderId="0" xfId="0" applyFont="1" applyAlignment="1">
      <alignment horizontal="left" vertical="top" wrapText="1"/>
    </xf>
    <xf numFmtId="166" fontId="38" fillId="0" borderId="0" xfId="0" applyNumberFormat="1" applyFont="1" applyAlignment="1">
      <alignment vertical="center"/>
    </xf>
    <xf numFmtId="166" fontId="37" fillId="0" borderId="0" xfId="0" applyNumberFormat="1" applyFont="1" applyAlignment="1">
      <alignment vertical="center"/>
    </xf>
    <xf numFmtId="0" fontId="37" fillId="0" borderId="0" xfId="0" applyFont="1"/>
    <xf numFmtId="0" fontId="44" fillId="0" borderId="0" xfId="0" applyFont="1" applyAlignment="1">
      <alignment vertical="center"/>
    </xf>
    <xf numFmtId="166" fontId="37" fillId="15" borderId="0" xfId="0" applyNumberFormat="1" applyFont="1" applyFill="1" applyAlignment="1">
      <alignment vertical="center"/>
    </xf>
    <xf numFmtId="0" fontId="37" fillId="15" borderId="0" xfId="0" applyFont="1" applyFill="1"/>
    <xf numFmtId="0" fontId="38" fillId="15" borderId="0" xfId="0" applyFont="1" applyFill="1"/>
    <xf numFmtId="49" fontId="47" fillId="0" borderId="0" xfId="0" applyNumberFormat="1" applyFont="1" applyAlignment="1">
      <alignment horizontal="left" vertical="center" wrapText="1"/>
    </xf>
    <xf numFmtId="0" fontId="47" fillId="0" borderId="0" xfId="0" applyFont="1"/>
    <xf numFmtId="49" fontId="48" fillId="0" borderId="0" xfId="0" applyNumberFormat="1" applyFont="1" applyAlignment="1">
      <alignment horizontal="left" vertical="center" wrapText="1"/>
    </xf>
    <xf numFmtId="0" fontId="48" fillId="0" borderId="0" xfId="0" applyFont="1"/>
    <xf numFmtId="166" fontId="37" fillId="15" borderId="0" xfId="0" applyNumberFormat="1" applyFont="1" applyFill="1"/>
    <xf numFmtId="0" fontId="20" fillId="11" borderId="33" xfId="89" applyFont="1" applyFill="1" applyBorder="1" applyAlignment="1">
      <alignment vertical="center" wrapText="1"/>
    </xf>
    <xf numFmtId="166" fontId="3" fillId="11" borderId="21" xfId="89" applyNumberFormat="1" applyFont="1" applyFill="1" applyBorder="1" applyAlignment="1">
      <alignment horizontal="right" vertical="center" wrapText="1"/>
    </xf>
    <xf numFmtId="0" fontId="37" fillId="0" borderId="0" xfId="0" applyFont="1" applyAlignment="1">
      <alignment vertical="center"/>
    </xf>
    <xf numFmtId="0" fontId="52" fillId="0" borderId="0" xfId="0" applyFont="1"/>
    <xf numFmtId="0" fontId="38" fillId="0" borderId="0" xfId="0" applyFont="1" applyAlignment="1">
      <alignment horizontal="left" vertical="center"/>
    </xf>
    <xf numFmtId="0" fontId="50" fillId="0" borderId="0" xfId="0" applyFont="1" applyAlignment="1">
      <alignment horizontal="left" vertical="center"/>
    </xf>
    <xf numFmtId="0" fontId="50" fillId="0" borderId="0" xfId="0" applyFont="1" applyAlignment="1">
      <alignment vertical="center"/>
    </xf>
    <xf numFmtId="0" fontId="51" fillId="0" borderId="0" xfId="0" applyFont="1"/>
    <xf numFmtId="0" fontId="38" fillId="0" borderId="0" xfId="0" applyFont="1" applyAlignment="1">
      <alignment horizontal="left" vertical="top" wrapText="1"/>
    </xf>
    <xf numFmtId="49" fontId="0" fillId="0" borderId="0" xfId="0" applyNumberFormat="1" applyAlignment="1">
      <alignment wrapText="1"/>
    </xf>
    <xf numFmtId="0" fontId="1" fillId="11" borderId="21" xfId="89" applyFont="1" applyFill="1" applyBorder="1" applyAlignment="1">
      <alignment horizontal="center" vertical="center" wrapText="1"/>
    </xf>
    <xf numFmtId="0" fontId="54" fillId="2" borderId="34" xfId="89" applyFont="1" applyFill="1" applyBorder="1" applyAlignment="1">
      <alignment horizontal="left" vertical="center" wrapText="1"/>
    </xf>
    <xf numFmtId="0" fontId="26" fillId="13" borderId="33" xfId="89" applyFont="1" applyFill="1" applyBorder="1" applyAlignment="1">
      <alignment vertical="center" wrapText="1"/>
    </xf>
    <xf numFmtId="49" fontId="26" fillId="2" borderId="5" xfId="89" applyNumberFormat="1" applyFont="1" applyFill="1" applyBorder="1" applyAlignment="1">
      <alignment horizontal="left" vertical="center" wrapText="1"/>
    </xf>
    <xf numFmtId="0" fontId="26" fillId="2" borderId="34" xfId="89" applyFont="1" applyFill="1" applyBorder="1" applyAlignment="1">
      <alignment horizontal="left" vertical="center" wrapText="1"/>
    </xf>
    <xf numFmtId="1" fontId="26" fillId="2" borderId="22" xfId="89" applyNumberFormat="1" applyFont="1" applyFill="1" applyBorder="1" applyAlignment="1">
      <alignment horizontal="center" vertical="center" wrapText="1"/>
    </xf>
    <xf numFmtId="0" fontId="26" fillId="2" borderId="28" xfId="89" applyFont="1" applyFill="1" applyBorder="1" applyAlignment="1">
      <alignment horizontal="left" vertical="center" wrapText="1"/>
    </xf>
    <xf numFmtId="0" fontId="26" fillId="2" borderId="23" xfId="89" applyFont="1" applyFill="1" applyBorder="1" applyAlignment="1">
      <alignment horizontal="left" vertical="center" wrapText="1"/>
    </xf>
    <xf numFmtId="0" fontId="38" fillId="2" borderId="34" xfId="90" applyFont="1" applyFill="1" applyBorder="1" applyAlignment="1">
      <alignment horizontal="left" vertical="center" wrapText="1"/>
    </xf>
    <xf numFmtId="166" fontId="37" fillId="0" borderId="36" xfId="90" applyNumberFormat="1" applyFont="1" applyFill="1" applyBorder="1" applyAlignment="1">
      <alignment horizontal="right" vertical="center" wrapText="1"/>
    </xf>
    <xf numFmtId="0" fontId="20" fillId="0" borderId="0" xfId="89" applyFont="1"/>
    <xf numFmtId="0" fontId="7" fillId="0" borderId="0" xfId="90" applyAlignment="1">
      <alignment vertical="center"/>
    </xf>
    <xf numFmtId="0" fontId="26" fillId="13" borderId="29" xfId="89" applyFont="1" applyFill="1" applyBorder="1" applyAlignment="1">
      <alignment horizontal="left" vertical="center" wrapText="1"/>
    </xf>
    <xf numFmtId="0" fontId="26" fillId="13" borderId="30" xfId="89" applyFont="1" applyFill="1" applyBorder="1" applyAlignment="1">
      <alignment horizontal="left" vertical="center" wrapText="1"/>
    </xf>
    <xf numFmtId="0" fontId="26" fillId="13" borderId="6" xfId="89" applyFont="1" applyFill="1" applyBorder="1" applyAlignment="1">
      <alignment horizontal="center" vertical="center" wrapText="1"/>
    </xf>
    <xf numFmtId="166" fontId="26" fillId="13" borderId="6" xfId="89" applyNumberFormat="1" applyFont="1" applyFill="1" applyBorder="1" applyAlignment="1">
      <alignment horizontal="right" vertical="center" wrapText="1"/>
    </xf>
    <xf numFmtId="1" fontId="26" fillId="0" borderId="34" xfId="89" applyNumberFormat="1" applyFont="1" applyFill="1" applyBorder="1" applyAlignment="1">
      <alignment horizontal="center" vertical="center" wrapText="1"/>
    </xf>
    <xf numFmtId="0" fontId="26" fillId="0" borderId="38" xfId="89" applyFont="1" applyFill="1" applyBorder="1" applyAlignment="1">
      <alignment horizontal="left" vertical="center" wrapText="1"/>
    </xf>
    <xf numFmtId="0" fontId="26" fillId="0" borderId="8" xfId="89" applyFont="1" applyFill="1" applyBorder="1" applyAlignment="1">
      <alignment horizontal="left" vertical="center" wrapText="1"/>
    </xf>
    <xf numFmtId="0" fontId="26" fillId="0" borderId="5" xfId="89" applyFont="1" applyFill="1" applyBorder="1" applyAlignment="1">
      <alignment horizontal="center" vertical="center" wrapText="1"/>
    </xf>
    <xf numFmtId="166" fontId="26" fillId="0" borderId="5" xfId="89" applyNumberFormat="1" applyFont="1" applyFill="1" applyBorder="1" applyAlignment="1">
      <alignment horizontal="right" vertical="center" wrapText="1"/>
    </xf>
    <xf numFmtId="0" fontId="26" fillId="11" borderId="29" xfId="89" applyFont="1" applyFill="1" applyBorder="1" applyAlignment="1">
      <alignment horizontal="center" vertical="center" wrapText="1"/>
    </xf>
    <xf numFmtId="166" fontId="26" fillId="2" borderId="5" xfId="89" applyNumberFormat="1" applyFont="1" applyFill="1" applyBorder="1" applyAlignment="1">
      <alignment horizontal="right" vertical="center" wrapText="1"/>
    </xf>
    <xf numFmtId="167" fontId="30" fillId="2" borderId="5" xfId="89" applyNumberFormat="1" applyFont="1" applyFill="1" applyBorder="1" applyAlignment="1">
      <alignment horizontal="center" vertical="center" wrapText="1"/>
    </xf>
    <xf numFmtId="166" fontId="46" fillId="0" borderId="21" xfId="89" applyNumberFormat="1" applyFont="1" applyBorder="1" applyAlignment="1">
      <alignment horizontal="center" vertical="center" wrapText="1"/>
    </xf>
    <xf numFmtId="166" fontId="44" fillId="0" borderId="21" xfId="89" applyNumberFormat="1" applyFont="1" applyBorder="1" applyAlignment="1">
      <alignment horizontal="center" vertical="center" wrapText="1"/>
    </xf>
    <xf numFmtId="166" fontId="44" fillId="0" borderId="24" xfId="89" applyNumberFormat="1" applyFont="1" applyBorder="1" applyAlignment="1">
      <alignment horizontal="center" vertical="center" wrapText="1"/>
    </xf>
    <xf numFmtId="0" fontId="26" fillId="0" borderId="0" xfId="89" applyFont="1" applyAlignment="1">
      <alignment horizontal="left" vertical="top" wrapText="1"/>
    </xf>
    <xf numFmtId="0" fontId="37" fillId="0" borderId="0" xfId="89" applyFont="1" applyAlignment="1">
      <alignment horizontal="right" vertical="center" wrapText="1"/>
    </xf>
    <xf numFmtId="0" fontId="32" fillId="0" borderId="0" xfId="89" applyFont="1" applyFill="1" applyBorder="1" applyAlignment="1">
      <alignment horizontal="center" vertical="center"/>
    </xf>
    <xf numFmtId="0" fontId="29" fillId="12" borderId="3" xfId="89" applyFont="1" applyFill="1" applyBorder="1" applyAlignment="1">
      <alignment horizontal="center" vertical="center" wrapText="1"/>
    </xf>
    <xf numFmtId="0" fontId="29" fillId="12" borderId="20" xfId="89" applyFont="1" applyFill="1" applyBorder="1" applyAlignment="1">
      <alignment horizontal="center" vertical="center" wrapText="1"/>
    </xf>
    <xf numFmtId="1" fontId="29" fillId="12" borderId="42" xfId="89" applyNumberFormat="1" applyFont="1" applyFill="1" applyBorder="1" applyAlignment="1">
      <alignment horizontal="center" vertical="center" wrapText="1"/>
    </xf>
    <xf numFmtId="1" fontId="29" fillId="0" borderId="3" xfId="89" applyNumberFormat="1" applyFont="1" applyBorder="1" applyAlignment="1">
      <alignment horizontal="center" vertical="center" wrapText="1"/>
    </xf>
    <xf numFmtId="1" fontId="29" fillId="0" borderId="20" xfId="89" applyNumberFormat="1" applyFont="1" applyBorder="1" applyAlignment="1">
      <alignment horizontal="center" vertical="center" wrapText="1"/>
    </xf>
    <xf numFmtId="1" fontId="29" fillId="0" borderId="42" xfId="89" applyNumberFormat="1" applyFont="1" applyBorder="1" applyAlignment="1">
      <alignment horizontal="center" vertical="center" wrapText="1"/>
    </xf>
    <xf numFmtId="0" fontId="46" fillId="16" borderId="21" xfId="89" applyFont="1" applyFill="1" applyBorder="1" applyAlignment="1">
      <alignment vertical="center" wrapText="1"/>
    </xf>
    <xf numFmtId="0" fontId="46" fillId="0" borderId="0" xfId="89" applyFont="1" applyFill="1" applyBorder="1" applyAlignment="1">
      <alignment vertical="center" wrapText="1"/>
    </xf>
    <xf numFmtId="0" fontId="46" fillId="7" borderId="21" xfId="89" applyFont="1" applyFill="1" applyBorder="1" applyAlignment="1">
      <alignment horizontal="left" vertical="center" wrapText="1"/>
    </xf>
    <xf numFmtId="0" fontId="26" fillId="16" borderId="30" xfId="89" applyFont="1" applyFill="1" applyBorder="1" applyAlignment="1">
      <alignment horizontal="left" vertical="center" wrapText="1"/>
    </xf>
    <xf numFmtId="49" fontId="26" fillId="16" borderId="6" xfId="89" applyNumberFormat="1" applyFont="1" applyFill="1" applyBorder="1" applyAlignment="1">
      <alignment horizontal="left" vertical="center" wrapText="1"/>
    </xf>
    <xf numFmtId="14" fontId="26" fillId="16" borderId="29" xfId="89" applyNumberFormat="1" applyFont="1" applyFill="1" applyBorder="1" applyAlignment="1">
      <alignment horizontal="center" vertical="center" wrapText="1"/>
    </xf>
    <xf numFmtId="0" fontId="26" fillId="16" borderId="23" xfId="89" applyFont="1" applyFill="1" applyBorder="1" applyAlignment="1">
      <alignment horizontal="center" vertical="center" wrapText="1"/>
    </xf>
    <xf numFmtId="0" fontId="26" fillId="16" borderId="21" xfId="89" applyFont="1" applyFill="1" applyBorder="1" applyAlignment="1">
      <alignment horizontal="center" vertical="center" wrapText="1"/>
    </xf>
    <xf numFmtId="167" fontId="30" fillId="16" borderId="21" xfId="89" applyNumberFormat="1" applyFont="1" applyFill="1" applyBorder="1" applyAlignment="1">
      <alignment horizontal="center" vertical="center" wrapText="1"/>
    </xf>
    <xf numFmtId="0" fontId="26" fillId="16" borderId="24" xfId="89" applyFont="1" applyFill="1" applyBorder="1" applyAlignment="1">
      <alignment horizontal="left" vertical="center" wrapText="1"/>
    </xf>
    <xf numFmtId="0" fontId="26" fillId="16" borderId="31" xfId="89" applyFont="1" applyFill="1" applyBorder="1" applyAlignment="1">
      <alignment horizontal="left" vertical="center" wrapText="1"/>
    </xf>
    <xf numFmtId="0" fontId="26" fillId="16" borderId="23" xfId="89" applyFont="1" applyFill="1" applyBorder="1" applyAlignment="1">
      <alignment horizontal="left" vertical="center" wrapText="1"/>
    </xf>
    <xf numFmtId="0" fontId="1" fillId="16" borderId="42" xfId="89" applyFont="1" applyFill="1" applyBorder="1" applyAlignment="1">
      <alignment horizontal="center" vertical="center" wrapText="1"/>
    </xf>
    <xf numFmtId="166" fontId="3" fillId="16" borderId="6" xfId="89" applyNumberFormat="1" applyFont="1" applyFill="1" applyBorder="1" applyAlignment="1">
      <alignment horizontal="right" vertical="center" wrapText="1"/>
    </xf>
    <xf numFmtId="0" fontId="26" fillId="16" borderId="32" xfId="89" applyFont="1" applyFill="1" applyBorder="1" applyAlignment="1">
      <alignment horizontal="left" vertical="center" wrapText="1"/>
    </xf>
    <xf numFmtId="0" fontId="38" fillId="16" borderId="31" xfId="89" applyFont="1" applyFill="1" applyBorder="1" applyAlignment="1">
      <alignment horizontal="left" vertical="center" wrapText="1"/>
    </xf>
    <xf numFmtId="0" fontId="26" fillId="16" borderId="6" xfId="89" applyFont="1" applyFill="1" applyBorder="1" applyAlignment="1">
      <alignment horizontal="center" vertical="center" wrapText="1"/>
    </xf>
    <xf numFmtId="166" fontId="26" fillId="16" borderId="6" xfId="89" applyNumberFormat="1" applyFont="1" applyFill="1" applyBorder="1" applyAlignment="1">
      <alignment horizontal="right" vertical="center" wrapText="1"/>
    </xf>
    <xf numFmtId="0" fontId="3" fillId="16" borderId="30" xfId="89" applyFill="1" applyBorder="1" applyAlignment="1">
      <alignment horizontal="left" vertical="center" wrapText="1"/>
    </xf>
    <xf numFmtId="0" fontId="3" fillId="16" borderId="6" xfId="89" applyFill="1" applyBorder="1" applyAlignment="1">
      <alignment horizontal="center" vertical="center" wrapText="1"/>
    </xf>
    <xf numFmtId="166" fontId="3" fillId="16" borderId="6" xfId="89" applyNumberFormat="1" applyFill="1" applyBorder="1" applyAlignment="1">
      <alignment horizontal="right" vertical="center" wrapText="1"/>
    </xf>
    <xf numFmtId="0" fontId="20" fillId="16" borderId="32" xfId="89" applyFont="1" applyFill="1" applyBorder="1" applyAlignment="1">
      <alignment vertical="center" wrapText="1"/>
    </xf>
    <xf numFmtId="0" fontId="3" fillId="16" borderId="32" xfId="89" applyFill="1" applyBorder="1" applyAlignment="1">
      <alignment horizontal="left" vertical="center" wrapText="1"/>
    </xf>
    <xf numFmtId="1" fontId="26" fillId="16" borderId="29" xfId="89" applyNumberFormat="1" applyFont="1" applyFill="1" applyBorder="1" applyAlignment="1">
      <alignment horizontal="center" vertical="center" wrapText="1"/>
    </xf>
    <xf numFmtId="0" fontId="20" fillId="16" borderId="32" xfId="89" applyFont="1" applyFill="1" applyBorder="1" applyAlignment="1">
      <alignment horizontal="left" vertical="center" wrapText="1"/>
    </xf>
    <xf numFmtId="0" fontId="26" fillId="16" borderId="49" xfId="89" applyFont="1" applyFill="1" applyBorder="1" applyAlignment="1">
      <alignment horizontal="left" vertical="center" wrapText="1"/>
    </xf>
    <xf numFmtId="0" fontId="26" fillId="16" borderId="33" xfId="89" applyFont="1" applyFill="1" applyBorder="1" applyAlignment="1">
      <alignment vertical="center" wrapText="1"/>
    </xf>
    <xf numFmtId="0" fontId="20" fillId="16" borderId="31" xfId="89" applyFont="1" applyFill="1" applyBorder="1" applyAlignment="1">
      <alignment horizontal="left" vertical="center" wrapText="1"/>
    </xf>
    <xf numFmtId="0" fontId="26" fillId="16" borderId="32" xfId="89" applyFont="1" applyFill="1" applyBorder="1" applyAlignment="1">
      <alignment vertical="center" wrapText="1"/>
    </xf>
    <xf numFmtId="0" fontId="26" fillId="16" borderId="21" xfId="89" applyFont="1" applyFill="1" applyBorder="1" applyAlignment="1">
      <alignment horizontal="left" vertical="center" wrapText="1"/>
    </xf>
    <xf numFmtId="0" fontId="26" fillId="16" borderId="20" xfId="89" applyFont="1" applyFill="1" applyBorder="1" applyAlignment="1">
      <alignment horizontal="left" vertical="center" wrapText="1"/>
    </xf>
    <xf numFmtId="0" fontId="26" fillId="16" borderId="29" xfId="89" applyFont="1" applyFill="1" applyBorder="1" applyAlignment="1">
      <alignment horizontal="left" vertical="center" wrapText="1"/>
    </xf>
    <xf numFmtId="0" fontId="26" fillId="16" borderId="38" xfId="89" applyFont="1" applyFill="1" applyBorder="1" applyAlignment="1">
      <alignment horizontal="left" vertical="center" wrapText="1"/>
    </xf>
    <xf numFmtId="0" fontId="26" fillId="16" borderId="9" xfId="89" applyFont="1" applyFill="1" applyBorder="1" applyAlignment="1">
      <alignment horizontal="left" vertical="center" wrapText="1"/>
    </xf>
    <xf numFmtId="0" fontId="26" fillId="16" borderId="31" xfId="89" applyFont="1" applyFill="1" applyBorder="1" applyAlignment="1">
      <alignment vertical="center" wrapText="1"/>
    </xf>
    <xf numFmtId="0" fontId="26" fillId="16" borderId="28" xfId="89" applyFont="1" applyFill="1" applyBorder="1" applyAlignment="1">
      <alignment horizontal="left" vertical="center" wrapText="1"/>
    </xf>
    <xf numFmtId="0" fontId="38" fillId="0" borderId="0" xfId="89" applyFont="1" applyFill="1" applyBorder="1" applyAlignment="1">
      <alignment horizontal="center" vertical="center"/>
    </xf>
    <xf numFmtId="0" fontId="38" fillId="14" borderId="0" xfId="89" applyFont="1" applyFill="1" applyBorder="1" applyAlignment="1">
      <alignment horizontal="center" vertical="center"/>
    </xf>
    <xf numFmtId="0" fontId="38" fillId="0" borderId="52" xfId="89" applyFont="1" applyFill="1" applyBorder="1" applyAlignment="1">
      <alignment horizontal="left" vertical="center"/>
    </xf>
    <xf numFmtId="0" fontId="38" fillId="12" borderId="51" xfId="89" applyFont="1" applyFill="1" applyBorder="1" applyAlignment="1">
      <alignment horizontal="left" vertical="center"/>
    </xf>
    <xf numFmtId="0" fontId="28" fillId="0" borderId="53" xfId="89" applyFont="1" applyFill="1" applyBorder="1" applyAlignment="1">
      <alignment horizontal="center" vertical="center"/>
    </xf>
    <xf numFmtId="0" fontId="28" fillId="12" borderId="51" xfId="89" applyFont="1" applyFill="1" applyBorder="1" applyAlignment="1">
      <alignment horizontal="center" vertical="center"/>
    </xf>
    <xf numFmtId="49" fontId="37" fillId="0" borderId="10" xfId="0" applyNumberFormat="1"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7" xfId="0" applyNumberFormat="1" applyFont="1" applyBorder="1" applyAlignment="1">
      <alignment horizontal="center" vertical="center" wrapText="1"/>
    </xf>
    <xf numFmtId="0" fontId="38" fillId="14" borderId="54" xfId="0" applyFont="1" applyFill="1" applyBorder="1" applyAlignment="1">
      <alignment horizontal="center" vertical="center"/>
    </xf>
    <xf numFmtId="166" fontId="38" fillId="14" borderId="33" xfId="0" applyNumberFormat="1" applyFont="1" applyFill="1" applyBorder="1"/>
    <xf numFmtId="0" fontId="38" fillId="14" borderId="48" xfId="0" applyFont="1" applyFill="1" applyBorder="1" applyAlignment="1">
      <alignment horizontal="center" vertical="center"/>
    </xf>
    <xf numFmtId="166" fontId="38" fillId="14" borderId="32" xfId="0" applyNumberFormat="1" applyFont="1" applyFill="1" applyBorder="1"/>
    <xf numFmtId="0" fontId="38" fillId="14" borderId="55" xfId="0" applyFont="1" applyFill="1" applyBorder="1" applyAlignment="1">
      <alignment horizontal="center" vertical="center"/>
    </xf>
    <xf numFmtId="166" fontId="38" fillId="14" borderId="56" xfId="0" applyNumberFormat="1" applyFont="1" applyFill="1" applyBorder="1"/>
    <xf numFmtId="0" fontId="38" fillId="14" borderId="57" xfId="0" applyFont="1" applyFill="1" applyBorder="1" applyAlignment="1">
      <alignment horizontal="center" vertical="center"/>
    </xf>
    <xf numFmtId="166" fontId="38" fillId="14" borderId="58" xfId="0" applyNumberFormat="1" applyFont="1" applyFill="1" applyBorder="1"/>
    <xf numFmtId="2" fontId="38" fillId="14" borderId="58" xfId="0" applyNumberFormat="1" applyFont="1" applyFill="1" applyBorder="1" applyAlignment="1">
      <alignment horizontal="center" vertical="center"/>
    </xf>
    <xf numFmtId="166" fontId="38" fillId="14" borderId="59" xfId="0" applyNumberFormat="1" applyFont="1" applyFill="1" applyBorder="1"/>
    <xf numFmtId="0" fontId="37" fillId="2" borderId="12" xfId="0" applyFont="1" applyFill="1" applyBorder="1" applyAlignment="1">
      <alignment horizontal="center" vertical="center"/>
    </xf>
    <xf numFmtId="166" fontId="37" fillId="2" borderId="47" xfId="0" applyNumberFormat="1" applyFont="1" applyFill="1" applyBorder="1" applyAlignment="1">
      <alignment horizontal="center" vertical="center"/>
    </xf>
    <xf numFmtId="0" fontId="37" fillId="2" borderId="47" xfId="0" applyFont="1" applyFill="1" applyBorder="1" applyAlignment="1">
      <alignment horizontal="right" vertical="center"/>
    </xf>
    <xf numFmtId="166" fontId="37" fillId="2" borderId="13" xfId="0" applyNumberFormat="1" applyFont="1" applyFill="1" applyBorder="1"/>
    <xf numFmtId="0" fontId="37" fillId="2" borderId="12" xfId="0" applyFont="1" applyFill="1" applyBorder="1" applyAlignment="1">
      <alignment horizontal="right" vertical="center"/>
    </xf>
    <xf numFmtId="8" fontId="38" fillId="2" borderId="13" xfId="0" applyNumberFormat="1" applyFont="1" applyFill="1" applyBorder="1"/>
    <xf numFmtId="0" fontId="38" fillId="17" borderId="60" xfId="0" applyFont="1" applyFill="1" applyBorder="1" applyAlignment="1">
      <alignment horizontal="left" vertical="center"/>
    </xf>
    <xf numFmtId="0" fontId="38" fillId="17" borderId="34" xfId="0" applyFont="1" applyFill="1" applyBorder="1" applyAlignment="1">
      <alignment horizontal="left" vertical="center"/>
    </xf>
    <xf numFmtId="0" fontId="37" fillId="17" borderId="29" xfId="0" applyFont="1" applyFill="1" applyBorder="1" applyAlignment="1">
      <alignment horizontal="left" vertical="center"/>
    </xf>
    <xf numFmtId="0" fontId="37" fillId="0" borderId="0" xfId="0" applyFont="1" applyAlignment="1">
      <alignment horizontal="left" vertical="center"/>
    </xf>
    <xf numFmtId="0" fontId="37" fillId="17" borderId="29" xfId="0" applyFont="1" applyFill="1" applyBorder="1" applyAlignment="1">
      <alignment horizontal="left" vertical="top"/>
    </xf>
    <xf numFmtId="0" fontId="37" fillId="17" borderId="60" xfId="0" applyFont="1" applyFill="1" applyBorder="1" applyAlignment="1">
      <alignment horizontal="left" vertical="center"/>
    </xf>
    <xf numFmtId="0" fontId="37" fillId="17" borderId="22" xfId="0" applyFont="1" applyFill="1" applyBorder="1" applyAlignment="1">
      <alignment horizontal="left" vertical="top"/>
    </xf>
    <xf numFmtId="0" fontId="46" fillId="17" borderId="21" xfId="89" applyFont="1" applyFill="1" applyBorder="1" applyAlignment="1">
      <alignment vertical="center" wrapText="1"/>
    </xf>
    <xf numFmtId="0" fontId="37" fillId="0" borderId="0" xfId="89" applyFont="1" applyAlignment="1">
      <alignment horizontal="center" vertical="center" wrapText="1"/>
    </xf>
    <xf numFmtId="0" fontId="26" fillId="17" borderId="30" xfId="89" applyFont="1" applyFill="1" applyBorder="1" applyAlignment="1">
      <alignment horizontal="left" vertical="center" wrapText="1"/>
    </xf>
    <xf numFmtId="49" fontId="26" fillId="17" borderId="6" xfId="89" applyNumberFormat="1" applyFont="1" applyFill="1" applyBorder="1" applyAlignment="1">
      <alignment horizontal="left" vertical="center" wrapText="1"/>
    </xf>
    <xf numFmtId="14" fontId="26" fillId="17" borderId="29" xfId="89" applyNumberFormat="1" applyFont="1" applyFill="1" applyBorder="1" applyAlignment="1">
      <alignment horizontal="center" vertical="center" wrapText="1"/>
    </xf>
    <xf numFmtId="0" fontId="26" fillId="17" borderId="23" xfId="89" applyFont="1" applyFill="1" applyBorder="1" applyAlignment="1">
      <alignment horizontal="center" vertical="center" wrapText="1"/>
    </xf>
    <xf numFmtId="0" fontId="26" fillId="17" borderId="21" xfId="89" applyFont="1" applyFill="1" applyBorder="1" applyAlignment="1">
      <alignment horizontal="center" vertical="center" wrapText="1"/>
    </xf>
    <xf numFmtId="167" fontId="30" fillId="17" borderId="21" xfId="89" applyNumberFormat="1" applyFont="1" applyFill="1" applyBorder="1" applyAlignment="1">
      <alignment horizontal="center" vertical="center" wrapText="1"/>
    </xf>
    <xf numFmtId="0" fontId="26" fillId="17" borderId="24" xfId="89" applyFont="1" applyFill="1" applyBorder="1" applyAlignment="1">
      <alignment horizontal="left" vertical="center" wrapText="1"/>
    </xf>
    <xf numFmtId="0" fontId="26" fillId="17" borderId="31" xfId="89" applyFont="1" applyFill="1" applyBorder="1" applyAlignment="1">
      <alignment horizontal="left" vertical="center" wrapText="1"/>
    </xf>
    <xf numFmtId="0" fontId="26" fillId="17" borderId="23" xfId="89" applyFont="1" applyFill="1" applyBorder="1" applyAlignment="1">
      <alignment horizontal="left" vertical="center" wrapText="1"/>
    </xf>
    <xf numFmtId="0" fontId="1" fillId="17" borderId="42" xfId="89" applyFont="1" applyFill="1" applyBorder="1" applyAlignment="1">
      <alignment horizontal="center" vertical="center" wrapText="1"/>
    </xf>
    <xf numFmtId="166" fontId="3" fillId="17" borderId="6" xfId="89" applyNumberFormat="1" applyFont="1" applyFill="1" applyBorder="1" applyAlignment="1">
      <alignment horizontal="right" vertical="center" wrapText="1"/>
    </xf>
    <xf numFmtId="0" fontId="26" fillId="17" borderId="32" xfId="89" applyFont="1" applyFill="1" applyBorder="1" applyAlignment="1">
      <alignment horizontal="left" vertical="center" wrapText="1"/>
    </xf>
    <xf numFmtId="0" fontId="3" fillId="17" borderId="30" xfId="89" applyFill="1" applyBorder="1" applyAlignment="1">
      <alignment horizontal="left" vertical="center" wrapText="1"/>
    </xf>
    <xf numFmtId="0" fontId="3" fillId="17" borderId="6" xfId="89" applyFill="1" applyBorder="1" applyAlignment="1">
      <alignment horizontal="center" vertical="center" wrapText="1"/>
    </xf>
    <xf numFmtId="166" fontId="3" fillId="17" borderId="6" xfId="89" applyNumberFormat="1" applyFill="1" applyBorder="1" applyAlignment="1">
      <alignment horizontal="right" vertical="center" wrapText="1"/>
    </xf>
    <xf numFmtId="0" fontId="20" fillId="17" borderId="32" xfId="89" applyFont="1" applyFill="1" applyBorder="1" applyAlignment="1">
      <alignment vertical="center" wrapText="1"/>
    </xf>
    <xf numFmtId="0" fontId="3" fillId="17" borderId="32" xfId="89" applyFill="1" applyBorder="1" applyAlignment="1">
      <alignment horizontal="left" vertical="center" wrapText="1"/>
    </xf>
    <xf numFmtId="1" fontId="26" fillId="17" borderId="29" xfId="89" applyNumberFormat="1" applyFont="1" applyFill="1" applyBorder="1" applyAlignment="1">
      <alignment horizontal="center" vertical="center" wrapText="1"/>
    </xf>
    <xf numFmtId="0" fontId="20" fillId="17" borderId="32" xfId="89" applyFont="1" applyFill="1" applyBorder="1" applyAlignment="1">
      <alignment horizontal="left" vertical="center" wrapText="1"/>
    </xf>
    <xf numFmtId="0" fontId="26" fillId="17" borderId="49" xfId="89" applyFont="1" applyFill="1" applyBorder="1" applyAlignment="1">
      <alignment horizontal="left" vertical="center" wrapText="1"/>
    </xf>
    <xf numFmtId="0" fontId="26" fillId="17" borderId="6" xfId="89" applyFont="1" applyFill="1" applyBorder="1" applyAlignment="1">
      <alignment horizontal="center" vertical="center" wrapText="1"/>
    </xf>
    <xf numFmtId="166" fontId="26" fillId="17" borderId="6" xfId="89" applyNumberFormat="1" applyFont="1" applyFill="1" applyBorder="1" applyAlignment="1">
      <alignment horizontal="right" vertical="center" wrapText="1"/>
    </xf>
    <xf numFmtId="0" fontId="26" fillId="17" borderId="33" xfId="89" applyFont="1" applyFill="1" applyBorder="1" applyAlignment="1">
      <alignment vertical="center" wrapText="1"/>
    </xf>
    <xf numFmtId="0" fontId="20" fillId="17" borderId="31" xfId="89" applyFont="1" applyFill="1" applyBorder="1" applyAlignment="1">
      <alignment horizontal="left" vertical="center" wrapText="1"/>
    </xf>
    <xf numFmtId="0" fontId="26" fillId="17" borderId="32" xfId="89" applyFont="1" applyFill="1" applyBorder="1" applyAlignment="1">
      <alignment vertical="center" wrapText="1"/>
    </xf>
    <xf numFmtId="0" fontId="26" fillId="17" borderId="21" xfId="89" applyFont="1" applyFill="1" applyBorder="1" applyAlignment="1">
      <alignment horizontal="left" vertical="center" wrapText="1"/>
    </xf>
    <xf numFmtId="0" fontId="50" fillId="17" borderId="0" xfId="0" applyFont="1" applyFill="1"/>
    <xf numFmtId="0" fontId="51" fillId="17" borderId="0" xfId="0" applyFont="1" applyFill="1"/>
    <xf numFmtId="0" fontId="37" fillId="17" borderId="0" xfId="0" applyFont="1" applyFill="1"/>
    <xf numFmtId="0" fontId="38" fillId="17" borderId="0" xfId="0" applyFont="1" applyFill="1"/>
    <xf numFmtId="0" fontId="52" fillId="17" borderId="0" xfId="0" applyFont="1" applyFill="1"/>
    <xf numFmtId="0" fontId="38" fillId="0" borderId="0" xfId="0" applyFont="1" applyAlignment="1">
      <alignment horizontal="left" vertical="center" wrapText="1"/>
    </xf>
    <xf numFmtId="1" fontId="46" fillId="0" borderId="20" xfId="89" applyNumberFormat="1" applyFont="1" applyBorder="1" applyAlignment="1">
      <alignment horizontal="center" vertical="center" wrapText="1"/>
    </xf>
    <xf numFmtId="0" fontId="2" fillId="0" borderId="2" xfId="89" applyFont="1" applyFill="1" applyBorder="1" applyAlignment="1">
      <alignment horizontal="left" vertical="center" wrapText="1"/>
    </xf>
    <xf numFmtId="49" fontId="26" fillId="0" borderId="61" xfId="89" applyNumberFormat="1" applyFont="1" applyFill="1" applyBorder="1" applyAlignment="1">
      <alignment horizontal="left" vertical="center" wrapText="1"/>
    </xf>
    <xf numFmtId="1" fontId="3" fillId="0" borderId="60" xfId="89" applyNumberFormat="1" applyFill="1" applyBorder="1" applyAlignment="1">
      <alignment horizontal="center" vertical="center" wrapText="1"/>
    </xf>
    <xf numFmtId="14" fontId="26" fillId="2" borderId="19" xfId="89" applyNumberFormat="1" applyFont="1" applyFill="1" applyBorder="1" applyAlignment="1">
      <alignment horizontal="center" vertical="center" wrapText="1"/>
    </xf>
    <xf numFmtId="0" fontId="26" fillId="2" borderId="52" xfId="89" applyFont="1" applyFill="1" applyBorder="1" applyAlignment="1">
      <alignment horizontal="left" vertical="center" wrapText="1"/>
    </xf>
    <xf numFmtId="49" fontId="39" fillId="2" borderId="62" xfId="90" applyNumberFormat="1" applyFont="1" applyFill="1" applyBorder="1" applyAlignment="1">
      <alignment horizontal="left" vertical="center" wrapText="1"/>
    </xf>
    <xf numFmtId="14" fontId="3" fillId="2" borderId="53" xfId="89" applyNumberFormat="1" applyFill="1" applyBorder="1" applyAlignment="1">
      <alignment horizontal="center" vertical="center" wrapText="1"/>
    </xf>
    <xf numFmtId="0" fontId="3" fillId="0" borderId="55" xfId="89" applyFill="1" applyBorder="1" applyAlignment="1">
      <alignment horizontal="left" vertical="center" wrapText="1"/>
    </xf>
    <xf numFmtId="0" fontId="3" fillId="0" borderId="61" xfId="89" applyFill="1" applyBorder="1" applyAlignment="1">
      <alignment horizontal="center" vertical="center" wrapText="1"/>
    </xf>
    <xf numFmtId="166" fontId="3" fillId="0" borderId="61" xfId="89" applyNumberFormat="1" applyFill="1" applyBorder="1" applyAlignment="1">
      <alignment horizontal="right" vertical="center" wrapText="1"/>
    </xf>
    <xf numFmtId="0" fontId="20" fillId="2" borderId="17" xfId="89" applyFont="1" applyFill="1" applyBorder="1" applyAlignment="1">
      <alignment horizontal="left" vertical="center" wrapText="1"/>
    </xf>
    <xf numFmtId="166" fontId="26" fillId="2" borderId="19" xfId="89" applyNumberFormat="1" applyFont="1" applyFill="1" applyBorder="1" applyAlignment="1">
      <alignment horizontal="right" vertical="center" wrapText="1"/>
    </xf>
    <xf numFmtId="0" fontId="20" fillId="2" borderId="63" xfId="89" applyFont="1" applyFill="1" applyBorder="1" applyAlignment="1">
      <alignment horizontal="left" vertical="center" wrapText="1"/>
    </xf>
    <xf numFmtId="0" fontId="26" fillId="2" borderId="64" xfId="89" applyFont="1" applyFill="1" applyBorder="1" applyAlignment="1">
      <alignment horizontal="center" vertical="center" wrapText="1"/>
    </xf>
    <xf numFmtId="166" fontId="26" fillId="2" borderId="65" xfId="89" applyNumberFormat="1" applyFont="1" applyFill="1" applyBorder="1" applyAlignment="1">
      <alignment horizontal="right" vertical="center" wrapText="1"/>
    </xf>
    <xf numFmtId="0" fontId="26" fillId="2" borderId="52" xfId="89" applyFont="1" applyFill="1" applyBorder="1" applyAlignment="1">
      <alignment horizontal="center" vertical="center" wrapText="1"/>
    </xf>
    <xf numFmtId="0" fontId="3" fillId="2" borderId="62" xfId="89" applyFill="1" applyBorder="1" applyAlignment="1">
      <alignment horizontal="center" vertical="center" wrapText="1"/>
    </xf>
    <xf numFmtId="0" fontId="20" fillId="2" borderId="62" xfId="89" applyFont="1" applyFill="1" applyBorder="1" applyAlignment="1">
      <alignment horizontal="center" vertical="center" wrapText="1"/>
    </xf>
    <xf numFmtId="167" fontId="21" fillId="2" borderId="62" xfId="89" applyNumberFormat="1" applyFont="1" applyFill="1" applyBorder="1" applyAlignment="1">
      <alignment horizontal="center" vertical="center" wrapText="1"/>
    </xf>
    <xf numFmtId="0" fontId="26" fillId="2" borderId="53" xfId="89" applyFont="1" applyFill="1" applyBorder="1" applyAlignment="1">
      <alignment horizontal="center" vertical="center" wrapText="1"/>
    </xf>
    <xf numFmtId="0" fontId="20" fillId="2" borderId="66" xfId="89" applyFont="1" applyFill="1" applyBorder="1" applyAlignment="1">
      <alignment horizontal="left" vertical="center" wrapText="1"/>
    </xf>
    <xf numFmtId="0" fontId="26" fillId="2" borderId="67" xfId="89" applyFont="1" applyFill="1" applyBorder="1" applyAlignment="1">
      <alignment vertical="center" wrapText="1"/>
    </xf>
    <xf numFmtId="0" fontId="26" fillId="2" borderId="66" xfId="89" applyFont="1" applyFill="1" applyBorder="1" applyAlignment="1">
      <alignment horizontal="left" vertical="center" wrapText="1"/>
    </xf>
    <xf numFmtId="166" fontId="30" fillId="0" borderId="66" xfId="89" applyNumberFormat="1" applyFont="1" applyFill="1" applyBorder="1" applyAlignment="1">
      <alignment horizontal="right" vertical="center" wrapText="1"/>
    </xf>
    <xf numFmtId="0" fontId="44" fillId="0" borderId="0" xfId="89" applyFont="1" applyAlignment="1">
      <alignment horizontal="center" vertical="center"/>
    </xf>
    <xf numFmtId="0" fontId="44" fillId="0" borderId="0" xfId="89" applyFont="1" applyAlignment="1">
      <alignment vertical="center" wrapText="1"/>
    </xf>
    <xf numFmtId="49" fontId="44" fillId="0" borderId="0" xfId="89" applyNumberFormat="1" applyFont="1"/>
    <xf numFmtId="0" fontId="30" fillId="0" borderId="0" xfId="89" applyFont="1"/>
    <xf numFmtId="0" fontId="44" fillId="0" borderId="0" xfId="89" applyFont="1" applyAlignment="1">
      <alignment horizontal="left" vertical="center"/>
    </xf>
    <xf numFmtId="0" fontId="26" fillId="0" borderId="0" xfId="89" applyFont="1"/>
    <xf numFmtId="49" fontId="26" fillId="0" borderId="0" xfId="89" applyNumberFormat="1" applyFont="1"/>
    <xf numFmtId="0" fontId="47" fillId="0" borderId="0" xfId="89" applyFont="1" applyAlignment="1">
      <alignment horizontal="center" vertical="center"/>
    </xf>
    <xf numFmtId="0" fontId="46" fillId="0" borderId="0" xfId="89" applyFont="1" applyAlignment="1">
      <alignment horizontal="center" vertical="center"/>
    </xf>
    <xf numFmtId="49" fontId="26" fillId="0" borderId="0" xfId="89" applyNumberFormat="1" applyFont="1" applyAlignment="1">
      <alignment horizontal="left" vertical="center"/>
    </xf>
    <xf numFmtId="0" fontId="38" fillId="17" borderId="0" xfId="0" applyFont="1" applyFill="1" applyBorder="1" applyAlignment="1">
      <alignment horizontal="left" vertical="center"/>
    </xf>
    <xf numFmtId="0" fontId="37" fillId="2" borderId="29" xfId="0" applyFont="1" applyFill="1" applyBorder="1"/>
    <xf numFmtId="0" fontId="38" fillId="2" borderId="31" xfId="0" applyFont="1" applyFill="1" applyBorder="1"/>
    <xf numFmtId="0" fontId="0" fillId="2" borderId="31" xfId="0" applyFill="1" applyBorder="1"/>
    <xf numFmtId="0" fontId="0" fillId="2" borderId="42" xfId="0" applyFill="1" applyBorder="1"/>
    <xf numFmtId="0" fontId="38" fillId="2" borderId="60" xfId="0" applyFont="1" applyFill="1" applyBorder="1"/>
    <xf numFmtId="0" fontId="38" fillId="2" borderId="0" xfId="0" applyFont="1" applyFill="1"/>
    <xf numFmtId="0" fontId="0" fillId="2" borderId="0" xfId="0" applyFill="1"/>
    <xf numFmtId="0" fontId="0" fillId="2" borderId="2" xfId="0" applyFill="1" applyBorder="1"/>
    <xf numFmtId="0" fontId="38" fillId="0" borderId="0" xfId="0" applyFont="1" applyAlignment="1">
      <alignment horizontal="left" vertical="top" wrapText="1"/>
    </xf>
    <xf numFmtId="49" fontId="0" fillId="0" borderId="0" xfId="0" applyNumberFormat="1" applyAlignment="1">
      <alignment wrapText="1"/>
    </xf>
    <xf numFmtId="0" fontId="0" fillId="0" borderId="0" xfId="0" applyAlignment="1">
      <alignment wrapText="1"/>
    </xf>
    <xf numFmtId="49" fontId="38" fillId="2" borderId="60" xfId="0" applyNumberFormat="1" applyFont="1" applyFill="1" applyBorder="1" applyAlignment="1">
      <alignment horizontal="left" vertical="top" wrapText="1"/>
    </xf>
    <xf numFmtId="49" fontId="38" fillId="2" borderId="0" xfId="0" applyNumberFormat="1" applyFont="1" applyFill="1" applyAlignment="1">
      <alignment wrapText="1"/>
    </xf>
    <xf numFmtId="49" fontId="0" fillId="2" borderId="0" xfId="0" applyNumberFormat="1" applyFill="1" applyAlignment="1">
      <alignment wrapText="1"/>
    </xf>
    <xf numFmtId="49" fontId="0" fillId="2" borderId="2" xfId="0" applyNumberFormat="1" applyFill="1" applyBorder="1" applyAlignment="1">
      <alignment wrapText="1"/>
    </xf>
    <xf numFmtId="0" fontId="0" fillId="2" borderId="60" xfId="0" applyFill="1" applyBorder="1" applyAlignment="1">
      <alignment wrapText="1"/>
    </xf>
    <xf numFmtId="0" fontId="0" fillId="2" borderId="0" xfId="0" applyFill="1" applyAlignment="1">
      <alignment wrapText="1"/>
    </xf>
    <xf numFmtId="0" fontId="0" fillId="2" borderId="2" xfId="0" applyFill="1" applyBorder="1" applyAlignment="1">
      <alignment wrapText="1"/>
    </xf>
    <xf numFmtId="0" fontId="38" fillId="2" borderId="60" xfId="0" applyFont="1" applyFill="1" applyBorder="1" applyAlignment="1">
      <alignment horizontal="left" vertical="top" wrapText="1"/>
    </xf>
    <xf numFmtId="0" fontId="38" fillId="2" borderId="0" xfId="0" applyFont="1" applyFill="1" applyAlignment="1">
      <alignment horizontal="left" vertical="top" wrapText="1"/>
    </xf>
    <xf numFmtId="0" fontId="38" fillId="2" borderId="2" xfId="0" applyFont="1" applyFill="1" applyBorder="1" applyAlignment="1">
      <alignment horizontal="left" vertical="top" wrapText="1"/>
    </xf>
    <xf numFmtId="0" fontId="38" fillId="2" borderId="34" xfId="0" applyFont="1" applyFill="1" applyBorder="1" applyAlignment="1">
      <alignment horizontal="left" vertical="top" wrapText="1"/>
    </xf>
    <xf numFmtId="0" fontId="38" fillId="2" borderId="1"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17" borderId="1" xfId="0" applyFont="1" applyFill="1" applyBorder="1" applyAlignment="1">
      <alignment horizontal="left" vertical="center" wrapText="1"/>
    </xf>
    <xf numFmtId="0" fontId="0" fillId="17" borderId="1" xfId="0" applyFill="1" applyBorder="1" applyAlignment="1">
      <alignment wrapText="1"/>
    </xf>
    <xf numFmtId="0" fontId="0" fillId="17" borderId="3" xfId="0" applyFill="1" applyBorder="1" applyAlignment="1">
      <alignment wrapText="1"/>
    </xf>
    <xf numFmtId="0" fontId="38" fillId="17" borderId="31" xfId="0" applyFont="1" applyFill="1" applyBorder="1" applyAlignment="1">
      <alignment horizontal="left" vertical="center" wrapText="1"/>
    </xf>
    <xf numFmtId="0" fontId="0" fillId="17" borderId="31" xfId="0" applyFill="1" applyBorder="1" applyAlignment="1">
      <alignment wrapText="1"/>
    </xf>
    <xf numFmtId="0" fontId="0" fillId="17" borderId="42" xfId="0" applyFill="1" applyBorder="1" applyAlignment="1">
      <alignment wrapText="1"/>
    </xf>
    <xf numFmtId="0" fontId="38" fillId="17" borderId="0" xfId="0" applyFont="1" applyFill="1" applyBorder="1" applyAlignment="1">
      <alignment horizontal="left" vertical="center" wrapText="1"/>
    </xf>
    <xf numFmtId="0" fontId="0" fillId="17" borderId="0" xfId="0" applyFill="1" applyBorder="1" applyAlignment="1">
      <alignment wrapText="1"/>
    </xf>
    <xf numFmtId="0" fontId="0" fillId="17" borderId="2" xfId="0" applyFill="1" applyBorder="1" applyAlignment="1">
      <alignment wrapText="1"/>
    </xf>
    <xf numFmtId="0" fontId="30" fillId="0" borderId="10" xfId="89" applyFont="1" applyBorder="1" applyAlignment="1">
      <alignment horizontal="center" vertical="center"/>
    </xf>
    <xf numFmtId="0" fontId="30" fillId="0" borderId="4" xfId="89" applyFont="1" applyBorder="1" applyAlignment="1">
      <alignment horizontal="center" vertical="center"/>
    </xf>
    <xf numFmtId="0" fontId="30" fillId="0" borderId="7" xfId="89" applyFont="1" applyBorder="1" applyAlignment="1">
      <alignment horizontal="center" vertical="center"/>
    </xf>
    <xf numFmtId="0" fontId="30" fillId="0" borderId="14" xfId="89" applyFont="1" applyBorder="1" applyAlignment="1">
      <alignment horizontal="center" vertical="center"/>
    </xf>
    <xf numFmtId="0" fontId="30" fillId="0" borderId="15" xfId="89" applyFont="1" applyBorder="1" applyAlignment="1">
      <alignment horizontal="center" vertical="center"/>
    </xf>
    <xf numFmtId="49" fontId="26" fillId="0" borderId="0" xfId="89" applyNumberFormat="1" applyFont="1" applyAlignment="1">
      <alignment vertical="center" wrapText="1"/>
    </xf>
    <xf numFmtId="49" fontId="38" fillId="0" borderId="0" xfId="0" applyNumberFormat="1" applyFont="1" applyAlignment="1">
      <alignment vertical="center" wrapText="1"/>
    </xf>
    <xf numFmtId="0" fontId="37" fillId="0" borderId="0" xfId="89" applyFont="1" applyAlignment="1">
      <alignment horizontal="right" vertical="center" wrapText="1"/>
    </xf>
    <xf numFmtId="0" fontId="38" fillId="0" borderId="0" xfId="0" applyFont="1" applyAlignment="1">
      <alignment vertical="center" wrapText="1"/>
    </xf>
    <xf numFmtId="49" fontId="0" fillId="0" borderId="0" xfId="0" applyNumberFormat="1"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49" fontId="0" fillId="2" borderId="0" xfId="0" applyNumberFormat="1" applyFont="1" applyFill="1" applyAlignment="1">
      <alignment horizontal="left" vertical="center" wrapText="1"/>
    </xf>
  </cellXfs>
  <cellStyles count="91">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90" builtinId="8"/>
    <cellStyle name="Standard" xfId="0" builtinId="0"/>
    <cellStyle name="Standard 2" xfId="89" xr:uid="{456D489F-5153-4CEB-AC03-CE62E4129562}"/>
  </cellStyles>
  <dxfs count="0"/>
  <tableStyles count="0" defaultTableStyle="TableStyleMedium9" defaultPivotStyle="PivotStyleMedium4"/>
  <colors>
    <mruColors>
      <color rgb="FFFFC979"/>
      <color rgb="FF3333CC"/>
      <color rgb="FFECFFCD"/>
      <color rgb="FFFFFF99"/>
      <color rgb="FFFFE7E7"/>
      <color rgb="FFCC3300"/>
      <color rgb="FFFFE1E1"/>
      <color rgb="FFEFC8C8"/>
      <color rgb="FFFFF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Design">
  <a:themeElements>
    <a:clrScheme name="UmweltBank">
      <a:dk1>
        <a:srgbClr val="3C3B3A"/>
      </a:dk1>
      <a:lt1>
        <a:sysClr val="window" lastClr="FFFFFF"/>
      </a:lt1>
      <a:dk2>
        <a:srgbClr val="005922"/>
      </a:dk2>
      <a:lt2>
        <a:srgbClr val="00963F"/>
      </a:lt2>
      <a:accent1>
        <a:srgbClr val="3C3B3A"/>
      </a:accent1>
      <a:accent2>
        <a:srgbClr val="EF7C00"/>
      </a:accent2>
      <a:accent3>
        <a:srgbClr val="94C11C"/>
      </a:accent3>
      <a:accent4>
        <a:srgbClr val="831D81"/>
      </a:accent4>
      <a:accent5>
        <a:srgbClr val="00C4FF"/>
      </a:accent5>
      <a:accent6>
        <a:srgbClr val="940000"/>
      </a:accent6>
      <a:hlink>
        <a:srgbClr val="75FF82"/>
      </a:hlink>
      <a:folHlink>
        <a:srgbClr val="F087B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groforst-info.de/wp-content/uploads/2020/10/Agroforst-Systeme_Leitfaden.pdf" TargetMode="External"/><Relationship Id="rId13" Type="http://schemas.openxmlformats.org/officeDocument/2006/relationships/hyperlink" Target="https://agroforst-info.de/wp-content/uploads/2020/10/Agroforst-Systeme_Leitfaden.pdf" TargetMode="External"/><Relationship Id="rId18" Type="http://schemas.openxmlformats.org/officeDocument/2006/relationships/hyperlink" Target="https://www.s&#228;gewerk-gill.de/lohnschnitt" TargetMode="External"/><Relationship Id="rId3" Type="http://schemas.openxmlformats.org/officeDocument/2006/relationships/hyperlink" Target="https://agroforst-info.de/wp-content/uploads/2020/10/Agroforst-Systeme_Leitfaden.pdf" TargetMode="External"/><Relationship Id="rId21" Type="http://schemas.openxmlformats.org/officeDocument/2006/relationships/hyperlink" Target="https://www.ktbl.de/fileadmin/user_upload/Allgemeines/Download/Agroforst/Ernteverfahren_Agroforst_bf.pdf" TargetMode="External"/><Relationship Id="rId7" Type="http://schemas.openxmlformats.org/officeDocument/2006/relationships/hyperlink" Target="https://agroforst-info.de/wp-content/uploads/2020/10/Agroforst-Systeme_Leitfaden.pdf" TargetMode="External"/><Relationship Id="rId12" Type="http://schemas.openxmlformats.org/officeDocument/2006/relationships/hyperlink" Target="https://agroforst-info.de/wp-content/uploads/2020/10/Agroforst-Systeme_Leitfaden.pdf" TargetMode="External"/><Relationship Id="rId17" Type="http://schemas.openxmlformats.org/officeDocument/2006/relationships/hyperlink" Target="https://agroforst-info.de/wp-content/uploads/2020/10/Agroforst-Systeme_Leitfaden.pdf" TargetMode="External"/><Relationship Id="rId2" Type="http://schemas.openxmlformats.org/officeDocument/2006/relationships/hyperlink" Target="https://agroforst-info.de/wp-content/uploads/2020/10/Agroforst-Systeme_Leitfaden.pdf" TargetMode="External"/><Relationship Id="rId16" Type="http://schemas.openxmlformats.org/officeDocument/2006/relationships/hyperlink" Target="https://agroforst-info.de/wp-content/uploads/2020/10/Agroforst-Systeme_Leitfaden.pdf" TargetMode="External"/><Relationship Id="rId20" Type="http://schemas.openxmlformats.org/officeDocument/2006/relationships/hyperlink" Target="https://www.ktbl.de/fileadmin/user_upload/Allgemeines/Download/Agroforst/Ernteverfahren_Agroforst_bf.pdf" TargetMode="External"/><Relationship Id="rId1" Type="http://schemas.openxmlformats.org/officeDocument/2006/relationships/hyperlink" Target="https://agroforst-info.de/wp-content/uploads/2020/10/Agroforst-Systeme_Leitfaden.pdf" TargetMode="External"/><Relationship Id="rId6" Type="http://schemas.openxmlformats.org/officeDocument/2006/relationships/hyperlink" Target="https://agroforst-info.de/wp-content/uploads/2020/10/Agroforst-Systeme_Leitfaden.pdf" TargetMode="External"/><Relationship Id="rId11" Type="http://schemas.openxmlformats.org/officeDocument/2006/relationships/hyperlink" Target="https://agroforst-info.de/wp-content/uploads/2020/10/Agroforst-Systeme_Leitfaden.pdf" TargetMode="External"/><Relationship Id="rId24" Type="http://schemas.openxmlformats.org/officeDocument/2006/relationships/comments" Target="../comments1.xml"/><Relationship Id="rId5" Type="http://schemas.openxmlformats.org/officeDocument/2006/relationships/hyperlink" Target="https://agroforst-info.de/wp-content/uploads/2020/10/Agroforst-Systeme_Leitfaden.pdf" TargetMode="External"/><Relationship Id="rId15" Type="http://schemas.openxmlformats.org/officeDocument/2006/relationships/hyperlink" Target="https://agroforst-info.de/wp-content/uploads/2020/10/Agroforst-Systeme_Leitfaden.pdf" TargetMode="External"/><Relationship Id="rId23" Type="http://schemas.openxmlformats.org/officeDocument/2006/relationships/vmlDrawing" Target="../drawings/vmlDrawing1.vml"/><Relationship Id="rId10" Type="http://schemas.openxmlformats.org/officeDocument/2006/relationships/hyperlink" Target="https://agroforst-info.de/wp-content/uploads/2020/10/Agroforst-Systeme_Leitfaden.pdf" TargetMode="External"/><Relationship Id="rId19" Type="http://schemas.openxmlformats.org/officeDocument/2006/relationships/hyperlink" Target="https://www.ktbl.de/fileadmin/user_upload/Allgemeines/Download/Agroforst/Ernteverfahren_Agroforst_bf.pdf" TargetMode="External"/><Relationship Id="rId4" Type="http://schemas.openxmlformats.org/officeDocument/2006/relationships/hyperlink" Target="https://agroforst-info.de/wp-content/uploads/2020/10/Agroforst-Systeme_Leitfaden.pdf" TargetMode="External"/><Relationship Id="rId9" Type="http://schemas.openxmlformats.org/officeDocument/2006/relationships/hyperlink" Target="https://agroforst-info.de/wp-content/uploads/2020/10/Agroforst-Systeme_Leitfaden.pdf" TargetMode="External"/><Relationship Id="rId14" Type="http://schemas.openxmlformats.org/officeDocument/2006/relationships/hyperlink" Target="https://agroforst-info.de/wp-content/uploads/2020/10/Agroforst-Systeme_Leitfaden.pdf"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agroforst-info.de/wp-content/uploads/2020/10/Agroforst-Systeme_Leitfaden.pdf" TargetMode="External"/><Relationship Id="rId13" Type="http://schemas.openxmlformats.org/officeDocument/2006/relationships/hyperlink" Target="https://agroforst-info.de/wp-content/uploads/2020/10/Agroforst-Systeme_Leitfaden.pdf" TargetMode="External"/><Relationship Id="rId18" Type="http://schemas.openxmlformats.org/officeDocument/2006/relationships/hyperlink" Target="https://www.s&#228;gewerk-gill.de/lohnschnitt" TargetMode="External"/><Relationship Id="rId3" Type="http://schemas.openxmlformats.org/officeDocument/2006/relationships/hyperlink" Target="https://agroforst-info.de/wp-content/uploads/2020/10/Agroforst-Systeme_Leitfaden.pdf" TargetMode="External"/><Relationship Id="rId21" Type="http://schemas.openxmlformats.org/officeDocument/2006/relationships/hyperlink" Target="https://www.ktbl.de/fileadmin/user_upload/Allgemeines/Download/Agroforst/Ernteverfahren_Agroforst_bf.pdf" TargetMode="External"/><Relationship Id="rId7" Type="http://schemas.openxmlformats.org/officeDocument/2006/relationships/hyperlink" Target="https://agroforst-info.de/wp-content/uploads/2020/10/Agroforst-Systeme_Leitfaden.pdf" TargetMode="External"/><Relationship Id="rId12" Type="http://schemas.openxmlformats.org/officeDocument/2006/relationships/hyperlink" Target="https://agroforst-info.de/wp-content/uploads/2020/10/Agroforst-Systeme_Leitfaden.pdf" TargetMode="External"/><Relationship Id="rId17" Type="http://schemas.openxmlformats.org/officeDocument/2006/relationships/hyperlink" Target="https://agroforst-info.de/wp-content/uploads/2020/10/Agroforst-Systeme_Leitfaden.pdf" TargetMode="External"/><Relationship Id="rId2" Type="http://schemas.openxmlformats.org/officeDocument/2006/relationships/hyperlink" Target="https://agroforst-info.de/wp-content/uploads/2020/10/Agroforst-Systeme_Leitfaden.pdf" TargetMode="External"/><Relationship Id="rId16" Type="http://schemas.openxmlformats.org/officeDocument/2006/relationships/hyperlink" Target="https://agroforst-info.de/wp-content/uploads/2020/10/Agroforst-Systeme_Leitfaden.pdf" TargetMode="External"/><Relationship Id="rId20" Type="http://schemas.openxmlformats.org/officeDocument/2006/relationships/hyperlink" Target="https://www.ktbl.de/fileadmin/user_upload/Allgemeines/Download/Agroforst/Ernteverfahren_Agroforst_bf.pdf" TargetMode="External"/><Relationship Id="rId1" Type="http://schemas.openxmlformats.org/officeDocument/2006/relationships/hyperlink" Target="https://agroforst-info.de/wp-content/uploads/2020/10/Agroforst-Systeme_Leitfaden.pdf" TargetMode="External"/><Relationship Id="rId6" Type="http://schemas.openxmlformats.org/officeDocument/2006/relationships/hyperlink" Target="https://agroforst-info.de/wp-content/uploads/2020/10/Agroforst-Systeme_Leitfaden.pdf" TargetMode="External"/><Relationship Id="rId11" Type="http://schemas.openxmlformats.org/officeDocument/2006/relationships/hyperlink" Target="https://agroforst-info.de/wp-content/uploads/2020/10/Agroforst-Systeme_Leitfaden.pdf" TargetMode="External"/><Relationship Id="rId24" Type="http://schemas.openxmlformats.org/officeDocument/2006/relationships/comments" Target="../comments2.xml"/><Relationship Id="rId5" Type="http://schemas.openxmlformats.org/officeDocument/2006/relationships/hyperlink" Target="https://agroforst-info.de/wp-content/uploads/2020/10/Agroforst-Systeme_Leitfaden.pdf" TargetMode="External"/><Relationship Id="rId15" Type="http://schemas.openxmlformats.org/officeDocument/2006/relationships/hyperlink" Target="https://agroforst-info.de/wp-content/uploads/2020/10/Agroforst-Systeme_Leitfaden.pdf" TargetMode="External"/><Relationship Id="rId23" Type="http://schemas.openxmlformats.org/officeDocument/2006/relationships/vmlDrawing" Target="../drawings/vmlDrawing2.vml"/><Relationship Id="rId10" Type="http://schemas.openxmlformats.org/officeDocument/2006/relationships/hyperlink" Target="https://agroforst-info.de/wp-content/uploads/2020/10/Agroforst-Systeme_Leitfaden.pdf" TargetMode="External"/><Relationship Id="rId19" Type="http://schemas.openxmlformats.org/officeDocument/2006/relationships/hyperlink" Target="https://www.ktbl.de/fileadmin/user_upload/Allgemeines/Download/Agroforst/Ernteverfahren_Agroforst_bf.pdf" TargetMode="External"/><Relationship Id="rId4" Type="http://schemas.openxmlformats.org/officeDocument/2006/relationships/hyperlink" Target="https://agroforst-info.de/wp-content/uploads/2020/10/Agroforst-Systeme_Leitfaden.pdf" TargetMode="External"/><Relationship Id="rId9" Type="http://schemas.openxmlformats.org/officeDocument/2006/relationships/hyperlink" Target="https://agroforst-info.de/wp-content/uploads/2020/10/Agroforst-Systeme_Leitfaden.pdf" TargetMode="External"/><Relationship Id="rId14" Type="http://schemas.openxmlformats.org/officeDocument/2006/relationships/hyperlink" Target="https://agroforst-info.de/wp-content/uploads/2020/10/Agroforst-Systeme_Leitfaden.pdf" TargetMode="External"/><Relationship Id="rId2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2B2C9-4B25-43EF-8ABA-DBFE87822A7F}">
  <dimension ref="A1:S48"/>
  <sheetViews>
    <sheetView tabSelected="1" workbookViewId="0">
      <selection activeCell="R20" sqref="Q20:R20"/>
    </sheetView>
  </sheetViews>
  <sheetFormatPr baseColWidth="10" defaultRowHeight="15.75" x14ac:dyDescent="0.25"/>
  <cols>
    <col min="1" max="1" width="12.375" customWidth="1"/>
    <col min="3" max="3" width="13" customWidth="1"/>
    <col min="4" max="4" width="14.25" customWidth="1"/>
    <col min="5" max="5" width="17.25" customWidth="1"/>
    <col min="6" max="6" width="14.375" customWidth="1"/>
    <col min="7" max="7" width="14.625" customWidth="1"/>
    <col min="11" max="11" width="17.25" customWidth="1"/>
  </cols>
  <sheetData>
    <row r="1" spans="1:19" s="183" customFormat="1" ht="21" x14ac:dyDescent="0.3">
      <c r="A1" s="304" t="s">
        <v>642</v>
      </c>
      <c r="B1" s="181"/>
      <c r="C1" s="181"/>
      <c r="D1" s="182"/>
      <c r="E1" s="182"/>
      <c r="F1" s="180"/>
      <c r="G1" s="180"/>
    </row>
    <row r="2" spans="1:19" s="186" customFormat="1" ht="18.75" x14ac:dyDescent="0.3">
      <c r="A2" s="180"/>
      <c r="B2" s="184"/>
      <c r="C2" s="185"/>
      <c r="D2" s="185"/>
      <c r="E2" s="185"/>
      <c r="F2" s="180"/>
      <c r="G2" s="180"/>
    </row>
    <row r="3" spans="1:19" ht="30.75" customHeight="1" x14ac:dyDescent="0.25">
      <c r="A3" s="412" t="s">
        <v>591</v>
      </c>
      <c r="B3" s="510" t="s">
        <v>699</v>
      </c>
      <c r="C3" s="511"/>
      <c r="D3" s="511"/>
      <c r="E3" s="511"/>
      <c r="F3" s="511"/>
      <c r="G3" s="511"/>
      <c r="H3" s="511"/>
      <c r="I3" s="511"/>
      <c r="J3" s="511"/>
      <c r="K3" s="512"/>
    </row>
    <row r="4" spans="1:19" ht="15.75" customHeight="1" x14ac:dyDescent="0.25">
      <c r="A4" s="411" t="s">
        <v>590</v>
      </c>
      <c r="B4" s="510" t="s">
        <v>700</v>
      </c>
      <c r="C4" s="511"/>
      <c r="D4" s="511"/>
      <c r="E4" s="511"/>
      <c r="F4" s="511"/>
      <c r="G4" s="511"/>
      <c r="H4" s="511"/>
      <c r="I4" s="511"/>
      <c r="J4" s="511"/>
      <c r="K4" s="512"/>
    </row>
    <row r="5" spans="1:19" ht="15.75" customHeight="1" x14ac:dyDescent="0.25">
      <c r="A5" s="406"/>
      <c r="B5" s="513" t="s">
        <v>701</v>
      </c>
      <c r="C5" s="514"/>
      <c r="D5" s="514"/>
      <c r="E5" s="514"/>
      <c r="F5" s="514"/>
      <c r="G5" s="514"/>
      <c r="H5" s="514"/>
      <c r="I5" s="514"/>
      <c r="J5" s="514"/>
      <c r="K5" s="515"/>
    </row>
    <row r="6" spans="1:19" ht="33.75" customHeight="1" x14ac:dyDescent="0.25">
      <c r="A6" s="406"/>
      <c r="B6" s="513" t="s">
        <v>702</v>
      </c>
      <c r="C6" s="514"/>
      <c r="D6" s="514"/>
      <c r="E6" s="514"/>
      <c r="F6" s="514"/>
      <c r="G6" s="514"/>
      <c r="H6" s="514"/>
      <c r="I6" s="514"/>
      <c r="J6" s="514"/>
      <c r="K6" s="515"/>
    </row>
    <row r="7" spans="1:19" ht="15.75" customHeight="1" x14ac:dyDescent="0.25">
      <c r="A7" s="406"/>
      <c r="B7" s="513" t="s">
        <v>660</v>
      </c>
      <c r="C7" s="514"/>
      <c r="D7" s="514"/>
      <c r="E7" s="514"/>
      <c r="F7" s="514"/>
      <c r="G7" s="514"/>
      <c r="H7" s="514"/>
      <c r="I7" s="514"/>
      <c r="J7" s="514"/>
      <c r="K7" s="515"/>
    </row>
    <row r="8" spans="1:19" ht="15.75" customHeight="1" x14ac:dyDescent="0.25">
      <c r="A8" s="407"/>
      <c r="B8" s="507" t="s">
        <v>708</v>
      </c>
      <c r="C8" s="508"/>
      <c r="D8" s="508"/>
      <c r="E8" s="508"/>
      <c r="F8" s="508"/>
      <c r="G8" s="508"/>
      <c r="H8" s="508"/>
      <c r="I8" s="508"/>
      <c r="J8" s="508"/>
      <c r="K8" s="509"/>
    </row>
    <row r="9" spans="1:19" ht="16.5" thickBot="1" x14ac:dyDescent="0.3">
      <c r="B9" s="29"/>
      <c r="C9" s="31"/>
      <c r="D9" s="280"/>
      <c r="E9" s="280"/>
      <c r="F9" s="281"/>
      <c r="I9" s="492"/>
      <c r="J9" s="493"/>
      <c r="K9" s="493"/>
      <c r="L9" s="493"/>
    </row>
    <row r="10" spans="1:19" ht="16.5" thickBot="1" x14ac:dyDescent="0.3">
      <c r="D10" s="281"/>
      <c r="E10" s="282" t="s">
        <v>392</v>
      </c>
      <c r="F10" s="283">
        <f>4%</f>
        <v>0.04</v>
      </c>
    </row>
    <row r="11" spans="1:19" x14ac:dyDescent="0.25">
      <c r="D11" s="281"/>
      <c r="E11" s="284" t="s">
        <v>523</v>
      </c>
      <c r="F11" s="285">
        <v>25</v>
      </c>
    </row>
    <row r="12" spans="1:19" ht="16.5" thickBot="1" x14ac:dyDescent="0.3">
      <c r="F12" s="492"/>
      <c r="G12" s="492"/>
      <c r="I12" s="483" t="s">
        <v>703</v>
      </c>
      <c r="J12" s="484"/>
      <c r="K12" s="484"/>
      <c r="L12" s="484"/>
      <c r="M12" s="485"/>
      <c r="N12" s="486"/>
    </row>
    <row r="13" spans="1:19" s="308" customFormat="1" ht="78.75" customHeight="1" x14ac:dyDescent="0.25">
      <c r="B13" s="387" t="s">
        <v>389</v>
      </c>
      <c r="C13" s="388" t="s">
        <v>544</v>
      </c>
      <c r="D13" s="388" t="s">
        <v>545</v>
      </c>
      <c r="E13" s="388" t="s">
        <v>546</v>
      </c>
      <c r="F13" s="388" t="s">
        <v>390</v>
      </c>
      <c r="G13" s="389" t="s">
        <v>547</v>
      </c>
      <c r="H13"/>
      <c r="I13" s="494" t="s">
        <v>709</v>
      </c>
      <c r="J13" s="495"/>
      <c r="K13" s="495"/>
      <c r="L13" s="496"/>
      <c r="M13" s="496"/>
      <c r="N13" s="497"/>
      <c r="O13"/>
      <c r="P13"/>
      <c r="Q13"/>
      <c r="R13"/>
      <c r="S13"/>
    </row>
    <row r="14" spans="1:19" x14ac:dyDescent="0.25">
      <c r="B14" s="390">
        <v>0</v>
      </c>
      <c r="C14" s="274">
        <f>'Windschutzstreifen (ohne Knick)'!F29</f>
        <v>0</v>
      </c>
      <c r="D14" s="274">
        <f>'Windschutzstreifen (ohne Knick)'!E29</f>
        <v>1174.6347619047622</v>
      </c>
      <c r="E14" s="274">
        <f>C14-D14</f>
        <v>-1174.6347619047622</v>
      </c>
      <c r="F14" s="275">
        <f>1/(1+$F$10)^B14</f>
        <v>1</v>
      </c>
      <c r="G14" s="391">
        <f>E14*F14</f>
        <v>-1174.6347619047622</v>
      </c>
      <c r="I14" s="498"/>
      <c r="J14" s="499"/>
      <c r="K14" s="499"/>
      <c r="L14" s="499"/>
      <c r="M14" s="499"/>
      <c r="N14" s="500"/>
    </row>
    <row r="15" spans="1:19" x14ac:dyDescent="0.25">
      <c r="B15" s="392">
        <v>1</v>
      </c>
      <c r="C15" s="276">
        <f>'Windschutzstreifen (ohne Knick)'!F40</f>
        <v>0</v>
      </c>
      <c r="D15" s="276">
        <f>'Windschutzstreifen (ohne Knick)'!E40</f>
        <v>1048.8150000000001</v>
      </c>
      <c r="E15" s="276">
        <f t="shared" ref="E15:E39" si="0">C15-D15</f>
        <v>-1048.8150000000001</v>
      </c>
      <c r="F15" s="277">
        <f t="shared" ref="F15:F39" si="1">1/(1+$F$10)^B15</f>
        <v>0.96153846153846145</v>
      </c>
      <c r="G15" s="393">
        <f t="shared" ref="G15:G39" si="2">E15*F15</f>
        <v>-1008.4759615384615</v>
      </c>
      <c r="I15" s="498"/>
      <c r="J15" s="499"/>
      <c r="K15" s="499"/>
      <c r="L15" s="499"/>
      <c r="M15" s="499"/>
      <c r="N15" s="500"/>
    </row>
    <row r="16" spans="1:19" x14ac:dyDescent="0.25">
      <c r="B16" s="390">
        <v>2</v>
      </c>
      <c r="C16" s="274">
        <f>'Windschutzstreifen (ohne Knick)'!F45</f>
        <v>0</v>
      </c>
      <c r="D16" s="274">
        <f>'Windschutzstreifen (ohne Knick)'!E45</f>
        <v>215.92354</v>
      </c>
      <c r="E16" s="274">
        <f t="shared" si="0"/>
        <v>-215.92354</v>
      </c>
      <c r="F16" s="275">
        <f t="shared" si="1"/>
        <v>0.92455621301775137</v>
      </c>
      <c r="G16" s="391">
        <f t="shared" si="2"/>
        <v>-199.63345044378696</v>
      </c>
      <c r="I16" s="498"/>
      <c r="J16" s="499"/>
      <c r="K16" s="499"/>
      <c r="L16" s="499"/>
      <c r="M16" s="499"/>
      <c r="N16" s="500"/>
    </row>
    <row r="17" spans="2:14" x14ac:dyDescent="0.25">
      <c r="B17" s="392">
        <v>3</v>
      </c>
      <c r="C17" s="276">
        <f>'Windschutzstreifen (ohne Knick)'!F48</f>
        <v>0</v>
      </c>
      <c r="D17" s="276">
        <f>'Windschutzstreifen (ohne Knick)'!E48</f>
        <v>96.499180799999991</v>
      </c>
      <c r="E17" s="276">
        <f t="shared" si="0"/>
        <v>-96.499180799999991</v>
      </c>
      <c r="F17" s="277">
        <f t="shared" si="1"/>
        <v>0.88899635867091487</v>
      </c>
      <c r="G17" s="393">
        <f t="shared" si="2"/>
        <v>-85.78742034592625</v>
      </c>
      <c r="I17" s="498"/>
      <c r="J17" s="499"/>
      <c r="K17" s="499"/>
      <c r="L17" s="499"/>
      <c r="M17" s="499"/>
      <c r="N17" s="500"/>
    </row>
    <row r="18" spans="2:14" x14ac:dyDescent="0.25">
      <c r="B18" s="394">
        <v>4</v>
      </c>
      <c r="C18" s="278">
        <f>'Windschutzstreifen (ohne Knick)'!F53</f>
        <v>7.2797909830799998</v>
      </c>
      <c r="D18" s="278">
        <f>'Windschutzstreifen (ohne Knick)'!E53</f>
        <v>194.946032016</v>
      </c>
      <c r="E18" s="278">
        <f t="shared" si="0"/>
        <v>-187.66624103292</v>
      </c>
      <c r="F18" s="279">
        <f t="shared" si="1"/>
        <v>0.85480419102972571</v>
      </c>
      <c r="G18" s="395">
        <f t="shared" si="2"/>
        <v>-160.41788934973471</v>
      </c>
      <c r="I18" s="498"/>
      <c r="J18" s="499"/>
      <c r="K18" s="499"/>
      <c r="L18" s="499"/>
      <c r="M18" s="499"/>
      <c r="N18" s="500"/>
    </row>
    <row r="19" spans="2:14" x14ac:dyDescent="0.25">
      <c r="B19" s="392">
        <v>5</v>
      </c>
      <c r="C19" s="276">
        <f>'Windschutzstreifen (ohne Knick)'!F57</f>
        <v>7.4981847125723986</v>
      </c>
      <c r="D19" s="276">
        <f>'Windschutzstreifen (ohne Knick)'!E57</f>
        <v>169.21878443712001</v>
      </c>
      <c r="E19" s="276">
        <f t="shared" si="0"/>
        <v>-161.72059972454761</v>
      </c>
      <c r="F19" s="277">
        <f t="shared" si="1"/>
        <v>0.82192710675935154</v>
      </c>
      <c r="G19" s="393">
        <f t="shared" si="2"/>
        <v>-132.9225446349846</v>
      </c>
      <c r="I19" s="498"/>
      <c r="J19" s="499"/>
      <c r="K19" s="499"/>
      <c r="L19" s="499"/>
      <c r="M19" s="499"/>
      <c r="N19" s="500"/>
    </row>
    <row r="20" spans="2:14" x14ac:dyDescent="0.25">
      <c r="B20" s="394">
        <v>6</v>
      </c>
      <c r="C20" s="278">
        <f>'Windschutzstreifen (ohne Knick)'!F61</f>
        <v>7.723130253949571</v>
      </c>
      <c r="D20" s="278">
        <f>'Windschutzstreifen (ohne Knick)'!E61</f>
        <v>172.60316012586242</v>
      </c>
      <c r="E20" s="278">
        <f t="shared" si="0"/>
        <v>-164.88002987191285</v>
      </c>
      <c r="F20" s="279">
        <f t="shared" si="1"/>
        <v>0.79031452573014571</v>
      </c>
      <c r="G20" s="395">
        <f t="shared" si="2"/>
        <v>-130.30708261059306</v>
      </c>
      <c r="I20" s="498"/>
      <c r="J20" s="499"/>
      <c r="K20" s="499"/>
      <c r="L20" s="499"/>
      <c r="M20" s="499"/>
      <c r="N20" s="500"/>
    </row>
    <row r="21" spans="2:14" x14ac:dyDescent="0.25">
      <c r="B21" s="392">
        <v>7</v>
      </c>
      <c r="C21" s="276">
        <f>'Windschutzstreifen (ohne Knick)'!F65</f>
        <v>11.364034516525798</v>
      </c>
      <c r="D21" s="276">
        <f>'Windschutzstreifen (ohne Knick)'!E65</f>
        <v>169.73745215630859</v>
      </c>
      <c r="E21" s="276">
        <f t="shared" si="0"/>
        <v>-158.37341763978279</v>
      </c>
      <c r="F21" s="277">
        <f t="shared" si="1"/>
        <v>0.75991781320206331</v>
      </c>
      <c r="G21" s="393">
        <f t="shared" si="2"/>
        <v>-120.35078120216082</v>
      </c>
      <c r="I21" s="487"/>
      <c r="J21" s="488"/>
      <c r="K21" s="488"/>
      <c r="L21" s="488"/>
      <c r="M21" s="489"/>
      <c r="N21" s="490"/>
    </row>
    <row r="22" spans="2:14" x14ac:dyDescent="0.25">
      <c r="B22" s="394">
        <v>8</v>
      </c>
      <c r="C22" s="278">
        <f>'Windschutzstreifen (ohne Knick)'!F69</f>
        <v>11.704955552021572</v>
      </c>
      <c r="D22" s="278">
        <f>'Windschutzstreifen (ohne Knick)'!E69</f>
        <v>173.13220119943477</v>
      </c>
      <c r="E22" s="278">
        <f t="shared" si="0"/>
        <v>-161.4272456474132</v>
      </c>
      <c r="F22" s="279">
        <f t="shared" si="1"/>
        <v>0.73069020500198378</v>
      </c>
      <c r="G22" s="395">
        <f t="shared" si="2"/>
        <v>-117.95330721501395</v>
      </c>
      <c r="I22" s="494" t="s">
        <v>705</v>
      </c>
      <c r="J22" s="495"/>
      <c r="K22" s="495"/>
      <c r="L22" s="499"/>
      <c r="M22" s="499"/>
      <c r="N22" s="500"/>
    </row>
    <row r="23" spans="2:14" x14ac:dyDescent="0.25">
      <c r="B23" s="392">
        <v>9</v>
      </c>
      <c r="C23" s="276">
        <f>'Windschutzstreifen (ohne Knick)'!F73</f>
        <v>12.056104218582218</v>
      </c>
      <c r="D23" s="276">
        <f>'Windschutzstreifen (ohne Knick)'!E73</f>
        <v>222.16770850688755</v>
      </c>
      <c r="E23" s="276">
        <f t="shared" si="0"/>
        <v>-210.11160428830533</v>
      </c>
      <c r="F23" s="277">
        <f t="shared" si="1"/>
        <v>0.70258673557883045</v>
      </c>
      <c r="G23" s="393">
        <f t="shared" si="2"/>
        <v>-147.62162616415142</v>
      </c>
      <c r="I23" s="498"/>
      <c r="J23" s="499"/>
      <c r="K23" s="499"/>
      <c r="L23" s="499"/>
      <c r="M23" s="499"/>
      <c r="N23" s="500"/>
    </row>
    <row r="24" spans="2:14" x14ac:dyDescent="0.25">
      <c r="B24" s="394">
        <v>10</v>
      </c>
      <c r="C24" s="278">
        <f>'Windschutzstreifen (ohne Knick)'!F77</f>
        <v>12.417787345139686</v>
      </c>
      <c r="D24" s="278">
        <f>'Windschutzstreifen (ohne Knick)'!E77</f>
        <v>226.61106267702533</v>
      </c>
      <c r="E24" s="278">
        <f t="shared" si="0"/>
        <v>-214.19327533188564</v>
      </c>
      <c r="F24" s="279">
        <f t="shared" si="1"/>
        <v>0.67556416882579851</v>
      </c>
      <c r="G24" s="395">
        <f t="shared" si="2"/>
        <v>-144.70130201766074</v>
      </c>
      <c r="I24" s="498"/>
      <c r="J24" s="499"/>
      <c r="K24" s="499"/>
      <c r="L24" s="499"/>
      <c r="M24" s="499"/>
      <c r="N24" s="500"/>
    </row>
    <row r="25" spans="2:14" x14ac:dyDescent="0.25">
      <c r="B25" s="392">
        <v>11</v>
      </c>
      <c r="C25" s="276">
        <f>'Windschutzstreifen (ohne Knick)'!F81</f>
        <v>12.790320965493876</v>
      </c>
      <c r="D25" s="276">
        <f>'Windschutzstreifen (ohne Knick)'!E81</f>
        <v>278.55729089068188</v>
      </c>
      <c r="E25" s="276">
        <f t="shared" si="0"/>
        <v>-265.76696992518799</v>
      </c>
      <c r="F25" s="277">
        <f t="shared" si="1"/>
        <v>0.6495809315632679</v>
      </c>
      <c r="G25" s="393">
        <f t="shared" si="2"/>
        <v>-172.63715590275064</v>
      </c>
      <c r="I25" s="487"/>
      <c r="J25" s="488"/>
      <c r="K25" s="488"/>
      <c r="L25" s="488"/>
      <c r="M25" s="489"/>
      <c r="N25" s="490"/>
    </row>
    <row r="26" spans="2:14" x14ac:dyDescent="0.25">
      <c r="B26" s="394">
        <v>12</v>
      </c>
      <c r="C26" s="278">
        <f>'Windschutzstreifen (ohne Knick)'!F85</f>
        <v>13.17403059445869</v>
      </c>
      <c r="D26" s="278">
        <f>'Windschutzstreifen (ohne Knick)'!E85</f>
        <v>284.12843670849554</v>
      </c>
      <c r="E26" s="278">
        <f t="shared" si="0"/>
        <v>-270.95440611403683</v>
      </c>
      <c r="F26" s="279">
        <f t="shared" si="1"/>
        <v>0.62459704958006512</v>
      </c>
      <c r="G26" s="395">
        <f t="shared" si="2"/>
        <v>-169.23732262954616</v>
      </c>
      <c r="I26" s="501" t="s">
        <v>706</v>
      </c>
      <c r="J26" s="502"/>
      <c r="K26" s="502"/>
      <c r="L26" s="502"/>
      <c r="M26" s="499"/>
      <c r="N26" s="500"/>
    </row>
    <row r="27" spans="2:14" x14ac:dyDescent="0.25">
      <c r="B27" s="392">
        <v>13</v>
      </c>
      <c r="C27" s="276">
        <f>'Windschutzstreifen (ohne Knick)'!F89</f>
        <v>13.569251512292452</v>
      </c>
      <c r="D27" s="276">
        <f>'Windschutzstreifen (ohne Knick)'!E89</f>
        <v>339.14053828397016</v>
      </c>
      <c r="E27" s="276">
        <f t="shared" si="0"/>
        <v>-325.57128677167771</v>
      </c>
      <c r="F27" s="277">
        <f t="shared" si="1"/>
        <v>0.600574086134678</v>
      </c>
      <c r="G27" s="393">
        <f t="shared" si="2"/>
        <v>-195.5296780245915</v>
      </c>
      <c r="I27" s="498"/>
      <c r="J27" s="499"/>
      <c r="K27" s="499"/>
      <c r="L27" s="499"/>
      <c r="M27" s="499"/>
      <c r="N27" s="500"/>
    </row>
    <row r="28" spans="2:14" x14ac:dyDescent="0.25">
      <c r="B28" s="394">
        <v>14</v>
      </c>
      <c r="C28" s="278">
        <f>'Windschutzstreifen (ohne Knick)'!F93</f>
        <v>13.976329057661227</v>
      </c>
      <c r="D28" s="278">
        <f>'Windschutzstreifen (ohne Knick)'!E93</f>
        <v>345.92334904964957</v>
      </c>
      <c r="E28" s="278">
        <f t="shared" si="0"/>
        <v>-331.94701999198833</v>
      </c>
      <c r="F28" s="279">
        <f t="shared" si="1"/>
        <v>0.57747508282180582</v>
      </c>
      <c r="G28" s="395">
        <f t="shared" si="2"/>
        <v>-191.69113286232511</v>
      </c>
      <c r="I28" s="498"/>
      <c r="J28" s="499"/>
      <c r="K28" s="499"/>
      <c r="L28" s="499"/>
      <c r="M28" s="499"/>
      <c r="N28" s="500"/>
    </row>
    <row r="29" spans="2:14" x14ac:dyDescent="0.25">
      <c r="B29" s="392">
        <v>15</v>
      </c>
      <c r="C29" s="276">
        <f>'Windschutzstreifen (ohne Knick)'!F97</f>
        <v>14.395618929391064</v>
      </c>
      <c r="D29" s="276">
        <f>'Windschutzstreifen (ohne Knick)'!E97</f>
        <v>404.16426199873604</v>
      </c>
      <c r="E29" s="276">
        <f t="shared" si="0"/>
        <v>-389.76864306934499</v>
      </c>
      <c r="F29" s="277">
        <f t="shared" si="1"/>
        <v>0.55526450271327477</v>
      </c>
      <c r="G29" s="393">
        <f t="shared" si="2"/>
        <v>-216.42469176712774</v>
      </c>
      <c r="I29" s="487"/>
      <c r="J29" s="488"/>
      <c r="K29" s="488"/>
      <c r="L29" s="488"/>
      <c r="M29" s="489"/>
      <c r="N29" s="490"/>
    </row>
    <row r="30" spans="2:14" x14ac:dyDescent="0.25">
      <c r="B30" s="394">
        <v>16</v>
      </c>
      <c r="C30" s="278">
        <f>'Windschutzstreifen (ohne Knick)'!F101</f>
        <v>14.827487497272793</v>
      </c>
      <c r="D30" s="278">
        <f>'Windschutzstreifen (ohne Knick)'!E101</f>
        <v>412.24754723871081</v>
      </c>
      <c r="E30" s="278">
        <f t="shared" si="0"/>
        <v>-397.42005974143802</v>
      </c>
      <c r="F30" s="279">
        <f t="shared" si="1"/>
        <v>0.53390817568584104</v>
      </c>
      <c r="G30" s="395">
        <f t="shared" si="2"/>
        <v>-212.18581907750914</v>
      </c>
      <c r="I30" s="501" t="s">
        <v>707</v>
      </c>
      <c r="J30" s="502"/>
      <c r="K30" s="502"/>
      <c r="L30" s="502"/>
      <c r="M30" s="502"/>
      <c r="N30" s="503"/>
    </row>
    <row r="31" spans="2:14" x14ac:dyDescent="0.25">
      <c r="B31" s="392">
        <v>17</v>
      </c>
      <c r="C31" s="276">
        <f>'Windschutzstreifen (ohne Knick)'!F105</f>
        <v>15.272312122190977</v>
      </c>
      <c r="D31" s="276">
        <f>'Windschutzstreifen (ohne Knick)'!E105</f>
        <v>473.88837096868951</v>
      </c>
      <c r="E31" s="276">
        <f t="shared" si="0"/>
        <v>-458.61605884649856</v>
      </c>
      <c r="F31" s="277">
        <f t="shared" si="1"/>
        <v>0.51337324585177024</v>
      </c>
      <c r="G31" s="393">
        <f t="shared" si="2"/>
        <v>-235.44121472977344</v>
      </c>
      <c r="I31" s="501"/>
      <c r="J31" s="502"/>
      <c r="K31" s="502"/>
      <c r="L31" s="502"/>
      <c r="M31" s="502"/>
      <c r="N31" s="503"/>
    </row>
    <row r="32" spans="2:14" x14ac:dyDescent="0.25">
      <c r="B32" s="394">
        <v>18</v>
      </c>
      <c r="C32" s="278">
        <f>'Windschutzstreifen (ohne Knick)'!F109</f>
        <v>15.730481485856707</v>
      </c>
      <c r="D32" s="278">
        <f>'Windschutzstreifen (ohne Knick)'!E109</f>
        <v>483.36613838806323</v>
      </c>
      <c r="E32" s="278">
        <f t="shared" si="0"/>
        <v>-467.63565690220651</v>
      </c>
      <c r="F32" s="279">
        <f t="shared" si="1"/>
        <v>0.49362812101131748</v>
      </c>
      <c r="G32" s="395">
        <f t="shared" si="2"/>
        <v>-230.83811063452933</v>
      </c>
      <c r="I32" s="501"/>
      <c r="J32" s="502"/>
      <c r="K32" s="502"/>
      <c r="L32" s="502"/>
      <c r="M32" s="502"/>
      <c r="N32" s="503"/>
    </row>
    <row r="33" spans="2:14" x14ac:dyDescent="0.25">
      <c r="B33" s="392">
        <v>19</v>
      </c>
      <c r="C33" s="276">
        <f>'Windschutzstreifen (ohne Knick)'!F113</f>
        <v>16.202395930432406</v>
      </c>
      <c r="D33" s="276">
        <f>'Windschutzstreifen (ohne Knick)'!E113</f>
        <v>548.58652720155112</v>
      </c>
      <c r="E33" s="276">
        <f t="shared" si="0"/>
        <v>-532.38413127111869</v>
      </c>
      <c r="F33" s="277">
        <f t="shared" si="1"/>
        <v>0.47464242404934376</v>
      </c>
      <c r="G33" s="393">
        <f t="shared" si="2"/>
        <v>-252.6920945919278</v>
      </c>
      <c r="I33" s="504"/>
      <c r="J33" s="505"/>
      <c r="K33" s="505"/>
      <c r="L33" s="505"/>
      <c r="M33" s="505"/>
      <c r="N33" s="506"/>
    </row>
    <row r="34" spans="2:14" x14ac:dyDescent="0.25">
      <c r="B34" s="394">
        <v>20</v>
      </c>
      <c r="C34" s="278">
        <f>'Windschutzstreifen (ohne Knick)'!F117</f>
        <v>16.688467808345379</v>
      </c>
      <c r="D34" s="278">
        <f>'Windschutzstreifen (ohne Knick)'!E117</f>
        <v>559.5582577455823</v>
      </c>
      <c r="E34" s="278">
        <f t="shared" si="0"/>
        <v>-542.86978993723687</v>
      </c>
      <c r="F34" s="279">
        <f t="shared" si="1"/>
        <v>0.45638694620129205</v>
      </c>
      <c r="G34" s="395">
        <f t="shared" si="2"/>
        <v>-247.75868561439245</v>
      </c>
    </row>
    <row r="35" spans="2:14" x14ac:dyDescent="0.25">
      <c r="B35" s="392">
        <v>21</v>
      </c>
      <c r="C35" s="276">
        <f>'Windschutzstreifen (ohne Knick)'!F123</f>
        <v>3337.8149323440452</v>
      </c>
      <c r="D35" s="276">
        <f>'Windschutzstreifen (ohne Knick)'!E123</f>
        <v>1464.8736403598477</v>
      </c>
      <c r="E35" s="276">
        <f t="shared" si="0"/>
        <v>1872.9412919841975</v>
      </c>
      <c r="F35" s="277">
        <f t="shared" si="1"/>
        <v>0.43883360211662686</v>
      </c>
      <c r="G35" s="393">
        <f t="shared" si="2"/>
        <v>821.90957371439436</v>
      </c>
    </row>
    <row r="36" spans="2:14" x14ac:dyDescent="0.25">
      <c r="B36" s="394">
        <v>22</v>
      </c>
      <c r="C36" s="278">
        <f>'Windschutzstreifen (ohne Knick)'!F127</f>
        <v>17.704795497873612</v>
      </c>
      <c r="D36" s="278">
        <f>'Windschutzstreifen (ohne Knick)'!E127</f>
        <v>582.1644113585038</v>
      </c>
      <c r="E36" s="278">
        <f t="shared" si="0"/>
        <v>-564.45961586063015</v>
      </c>
      <c r="F36" s="279">
        <f t="shared" si="1"/>
        <v>0.42195538665060278</v>
      </c>
      <c r="G36" s="395">
        <f t="shared" si="2"/>
        <v>-238.17677545912292</v>
      </c>
    </row>
    <row r="37" spans="2:14" x14ac:dyDescent="0.25">
      <c r="B37" s="392">
        <v>23</v>
      </c>
      <c r="C37" s="276">
        <f>'Windschutzstreifen (ohne Knick)'!F133</f>
        <v>4379.8621289526045</v>
      </c>
      <c r="D37" s="276">
        <f>'Windschutzstreifen (ohne Knick)'!E133</f>
        <v>1371.1474001815423</v>
      </c>
      <c r="E37" s="276">
        <f t="shared" si="0"/>
        <v>3008.7147287710623</v>
      </c>
      <c r="F37" s="277">
        <f t="shared" si="1"/>
        <v>0.40572633331788732</v>
      </c>
      <c r="G37" s="393">
        <f t="shared" si="2"/>
        <v>1220.7147949038049</v>
      </c>
    </row>
    <row r="38" spans="2:14" x14ac:dyDescent="0.25">
      <c r="B38" s="394">
        <v>24</v>
      </c>
      <c r="C38" s="278">
        <f>'Windschutzstreifen (ohne Knick)'!F137</f>
        <v>18.783017543694115</v>
      </c>
      <c r="D38" s="278">
        <f>'Windschutzstreifen (ohne Knick)'!E137</f>
        <v>464.14137562356746</v>
      </c>
      <c r="E38" s="278">
        <f t="shared" si="0"/>
        <v>-445.35835807987337</v>
      </c>
      <c r="F38" s="279">
        <f t="shared" si="1"/>
        <v>0.39012147434412242</v>
      </c>
      <c r="G38" s="395">
        <f t="shared" si="2"/>
        <v>-173.74385926559779</v>
      </c>
    </row>
    <row r="39" spans="2:14" ht="16.5" thickBot="1" x14ac:dyDescent="0.3">
      <c r="B39" s="396">
        <v>25</v>
      </c>
      <c r="C39" s="397">
        <f>'Windschutzstreifen (ohne Knick)'!F143</f>
        <v>5358.4802286882514</v>
      </c>
      <c r="D39" s="397">
        <f>'Windschutzstreifen (ohne Knick)'!E143</f>
        <v>1316.1528701402792</v>
      </c>
      <c r="E39" s="397">
        <f t="shared" si="0"/>
        <v>4042.3273585479719</v>
      </c>
      <c r="F39" s="398">
        <f t="shared" si="1"/>
        <v>0.37511680225396377</v>
      </c>
      <c r="G39" s="399">
        <f t="shared" si="2"/>
        <v>1516.3449124022272</v>
      </c>
    </row>
    <row r="40" spans="2:14" ht="16.5" thickBot="1" x14ac:dyDescent="0.3">
      <c r="B40" s="400" t="s">
        <v>394</v>
      </c>
      <c r="C40" s="401">
        <f>SUM(C14:C39)</f>
        <v>13329.315786511735</v>
      </c>
      <c r="D40" s="401">
        <f t="shared" ref="D40:E40" si="3">SUM(D14:D39)</f>
        <v>13192.329299961271</v>
      </c>
      <c r="E40" s="401">
        <f t="shared" si="3"/>
        <v>136.98648655046509</v>
      </c>
      <c r="F40" s="402" t="s">
        <v>391</v>
      </c>
      <c r="G40" s="403">
        <f>SUM(G14:G39)</f>
        <v>-2400.1933869660061</v>
      </c>
    </row>
    <row r="41" spans="2:14" ht="16.5" thickBot="1" x14ac:dyDescent="0.3">
      <c r="B41" s="187"/>
      <c r="C41" s="187"/>
      <c r="D41" s="187"/>
      <c r="E41" s="187"/>
      <c r="F41" s="404" t="s">
        <v>393</v>
      </c>
      <c r="G41" s="405">
        <f>PMT($F$10,$F$11,-SUM(G14:G39))</f>
        <v>-153.64108976676241</v>
      </c>
      <c r="I41" s="281" t="s">
        <v>548</v>
      </c>
      <c r="J41" s="281"/>
      <c r="K41" s="281"/>
      <c r="L41" s="281"/>
    </row>
    <row r="42" spans="2:14" x14ac:dyDescent="0.25">
      <c r="B42" s="30"/>
      <c r="C42" s="30"/>
      <c r="G42" s="32"/>
      <c r="I42" s="281"/>
      <c r="J42" s="281"/>
      <c r="K42" s="281"/>
      <c r="L42" s="281"/>
    </row>
    <row r="43" spans="2:14" ht="54" customHeight="1" x14ac:dyDescent="0.25">
      <c r="B43" s="29"/>
      <c r="C43" s="32"/>
      <c r="I43" s="491" t="s">
        <v>549</v>
      </c>
      <c r="J43" s="491"/>
      <c r="K43" s="491"/>
      <c r="L43" s="491"/>
    </row>
    <row r="44" spans="2:14" ht="19.5" customHeight="1" x14ac:dyDescent="0.25">
      <c r="B44" s="29"/>
      <c r="C44" s="32"/>
      <c r="I44" s="307"/>
      <c r="J44" s="307"/>
      <c r="K44" s="307"/>
      <c r="L44" s="307"/>
    </row>
    <row r="45" spans="2:14" ht="84" customHeight="1" x14ac:dyDescent="0.25">
      <c r="B45" s="29"/>
      <c r="C45" s="32"/>
      <c r="I45" s="491" t="s">
        <v>550</v>
      </c>
      <c r="J45" s="491"/>
      <c r="K45" s="491"/>
      <c r="L45" s="491"/>
    </row>
    <row r="46" spans="2:14" x14ac:dyDescent="0.25">
      <c r="B46" s="29"/>
      <c r="C46" s="32"/>
    </row>
    <row r="47" spans="2:14" x14ac:dyDescent="0.25">
      <c r="B47" s="29"/>
      <c r="C47" s="32"/>
    </row>
    <row r="48" spans="2:14" x14ac:dyDescent="0.25">
      <c r="C48" s="33"/>
    </row>
  </sheetData>
  <mergeCells count="14">
    <mergeCell ref="B8:K8"/>
    <mergeCell ref="B3:K3"/>
    <mergeCell ref="B4:K4"/>
    <mergeCell ref="B5:K5"/>
    <mergeCell ref="B6:K6"/>
    <mergeCell ref="B7:K7"/>
    <mergeCell ref="I45:L45"/>
    <mergeCell ref="I9:L9"/>
    <mergeCell ref="F12:G12"/>
    <mergeCell ref="I43:L43"/>
    <mergeCell ref="I13:N20"/>
    <mergeCell ref="I22:N24"/>
    <mergeCell ref="I26:N28"/>
    <mergeCell ref="I30:N33"/>
  </mergeCells>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CE8E-18CE-4BBC-A91F-DFD3F33125F5}">
  <dimension ref="A1:W145"/>
  <sheetViews>
    <sheetView zoomScale="90" zoomScaleNormal="90" workbookViewId="0">
      <pane xSplit="1" topLeftCell="B1" activePane="topRight" state="frozen"/>
      <selection pane="topRight" activeCell="B1" sqref="B1"/>
    </sheetView>
  </sheetViews>
  <sheetFormatPr baseColWidth="10" defaultRowHeight="18.75" x14ac:dyDescent="0.25"/>
  <cols>
    <col min="1" max="1" width="7" style="57" customWidth="1"/>
    <col min="2" max="2" width="15.625" style="56" customWidth="1"/>
    <col min="3" max="3" width="15.375" style="56" customWidth="1"/>
    <col min="4" max="4" width="13.25" style="56" customWidth="1"/>
    <col min="5" max="5" width="15.125" style="57" customWidth="1"/>
    <col min="6" max="6" width="14.375" style="57" customWidth="1"/>
    <col min="7" max="7" width="17" style="38" customWidth="1"/>
    <col min="8" max="8" width="33" style="39" customWidth="1"/>
    <col min="9" max="9" width="12.75" style="38" customWidth="1"/>
    <col min="10" max="10" width="11.625" style="38" customWidth="1"/>
    <col min="11" max="11" width="12.125" style="38" customWidth="1"/>
    <col min="12" max="12" width="10.75" style="38" customWidth="1"/>
    <col min="13" max="13" width="13.125" style="38" customWidth="1"/>
    <col min="14" max="14" width="13" style="38" customWidth="1"/>
    <col min="15" max="15" width="19.25" style="38" customWidth="1"/>
    <col min="16" max="16" width="17.25" style="38" customWidth="1"/>
    <col min="17" max="17" width="16.75" style="38" customWidth="1"/>
    <col min="18" max="18" width="11" style="38"/>
    <col min="19" max="19" width="19" style="38" customWidth="1"/>
    <col min="20" max="20" width="40.375" style="38" customWidth="1"/>
    <col min="21" max="21" width="19.25" style="40" customWidth="1"/>
    <col min="22" max="22" width="19.25" style="247" customWidth="1"/>
    <col min="23" max="16384" width="11" style="38"/>
  </cols>
  <sheetData>
    <row r="1" spans="1:22" s="49" customFormat="1" x14ac:dyDescent="0.3">
      <c r="A1" s="57"/>
      <c r="B1" s="56"/>
      <c r="C1" s="56"/>
      <c r="D1" s="56"/>
      <c r="E1" s="270" t="s">
        <v>426</v>
      </c>
      <c r="F1" s="57"/>
      <c r="H1" s="50"/>
      <c r="M1" s="271" t="s">
        <v>649</v>
      </c>
      <c r="U1" s="51"/>
      <c r="V1" s="247"/>
    </row>
    <row r="2" spans="1:22" s="35" customFormat="1" x14ac:dyDescent="0.3">
      <c r="A2" s="57"/>
      <c r="B2" s="57"/>
      <c r="C2" s="57"/>
      <c r="D2" s="57"/>
      <c r="E2" s="271" t="s">
        <v>427</v>
      </c>
      <c r="F2" s="57"/>
      <c r="H2" s="36"/>
      <c r="M2" s="319" t="s">
        <v>650</v>
      </c>
      <c r="U2" s="37"/>
      <c r="V2" s="248"/>
    </row>
    <row r="3" spans="1:22" s="35" customFormat="1" ht="18.75" customHeight="1" thickBot="1" x14ac:dyDescent="0.35">
      <c r="A3" s="57"/>
      <c r="B3" s="57"/>
      <c r="C3" s="57"/>
      <c r="D3" s="57"/>
      <c r="E3" s="57"/>
      <c r="H3" s="36"/>
      <c r="M3" s="319"/>
      <c r="U3" s="37"/>
      <c r="V3" s="248"/>
    </row>
    <row r="4" spans="1:22" s="35" customFormat="1" ht="19.5" thickBot="1" x14ac:dyDescent="0.35">
      <c r="A4" s="381"/>
      <c r="B4" s="268" t="s">
        <v>474</v>
      </c>
      <c r="C4" s="134"/>
      <c r="D4" s="57"/>
      <c r="E4" s="57"/>
      <c r="G4" s="347" t="s">
        <v>450</v>
      </c>
      <c r="M4" s="177"/>
      <c r="U4" s="37"/>
      <c r="V4" s="248"/>
    </row>
    <row r="5" spans="1:22" s="52" customFormat="1" ht="19.5" thickBot="1" x14ac:dyDescent="0.3">
      <c r="A5" s="381"/>
      <c r="B5" s="269" t="s">
        <v>475</v>
      </c>
      <c r="C5" s="133"/>
      <c r="D5" s="57"/>
      <c r="E5" s="57"/>
      <c r="G5" s="413" t="s">
        <v>416</v>
      </c>
      <c r="M5" s="177"/>
      <c r="P5" s="54"/>
      <c r="U5" s="55"/>
      <c r="V5" s="247"/>
    </row>
    <row r="6" spans="1:22" s="52" customFormat="1" x14ac:dyDescent="0.3">
      <c r="A6" s="338"/>
      <c r="B6" s="192"/>
      <c r="C6" s="193"/>
      <c r="D6" s="57"/>
      <c r="E6" s="57"/>
      <c r="G6" s="272" t="s">
        <v>451</v>
      </c>
      <c r="M6" s="177"/>
      <c r="P6" s="54"/>
      <c r="U6" s="55"/>
      <c r="V6" s="247"/>
    </row>
    <row r="7" spans="1:22" s="52" customFormat="1" ht="22.5" customHeight="1" x14ac:dyDescent="0.25">
      <c r="A7" s="57"/>
      <c r="B7" s="57"/>
      <c r="C7" s="57"/>
      <c r="D7" s="57"/>
      <c r="E7" s="57"/>
      <c r="G7" s="273" t="s">
        <v>452</v>
      </c>
      <c r="H7" s="53"/>
      <c r="M7" s="178"/>
      <c r="U7" s="55"/>
      <c r="V7" s="247"/>
    </row>
    <row r="8" spans="1:22" s="271" customFormat="1" ht="51" customHeight="1" x14ac:dyDescent="0.3">
      <c r="A8" s="414"/>
      <c r="B8" s="523" t="s">
        <v>476</v>
      </c>
      <c r="C8" s="524"/>
      <c r="D8" s="136">
        <v>22</v>
      </c>
      <c r="E8" s="521" t="s">
        <v>621</v>
      </c>
      <c r="F8" s="472"/>
      <c r="G8" s="473"/>
      <c r="H8" s="474"/>
      <c r="M8" s="475"/>
      <c r="U8" s="476"/>
      <c r="V8" s="248"/>
    </row>
    <row r="9" spans="1:22" s="477" customFormat="1" ht="50.25" customHeight="1" thickBot="1" x14ac:dyDescent="0.3">
      <c r="A9" s="414"/>
      <c r="B9" s="523" t="s">
        <v>477</v>
      </c>
      <c r="C9" s="524"/>
      <c r="D9" s="136">
        <v>13.9</v>
      </c>
      <c r="E9" s="522"/>
      <c r="F9" s="472"/>
      <c r="H9" s="478"/>
      <c r="K9" s="479"/>
      <c r="L9" s="480"/>
      <c r="M9" s="479"/>
      <c r="N9" s="479"/>
      <c r="O9" s="479"/>
      <c r="P9" s="480"/>
      <c r="Q9" s="480"/>
      <c r="R9" s="480"/>
      <c r="S9" s="480"/>
      <c r="U9" s="481"/>
      <c r="V9" s="249"/>
    </row>
    <row r="10" spans="1:22" ht="19.5" thickBot="1" x14ac:dyDescent="0.3">
      <c r="J10" s="516" t="s">
        <v>395</v>
      </c>
      <c r="K10" s="517"/>
      <c r="L10" s="517"/>
      <c r="M10" s="517"/>
      <c r="N10" s="517"/>
      <c r="O10" s="518"/>
      <c r="Q10" s="519" t="s">
        <v>396</v>
      </c>
      <c r="R10" s="520"/>
      <c r="S10" s="520"/>
    </row>
    <row r="11" spans="1:22" s="41" customFormat="1" ht="113.25" customHeight="1" thickBot="1" x14ac:dyDescent="0.3">
      <c r="A11" s="132" t="s">
        <v>389</v>
      </c>
      <c r="B11" s="128" t="s">
        <v>464</v>
      </c>
      <c r="C11" s="128" t="s">
        <v>465</v>
      </c>
      <c r="D11" s="129" t="s">
        <v>447</v>
      </c>
      <c r="E11" s="127" t="s">
        <v>448</v>
      </c>
      <c r="F11" s="130" t="s">
        <v>449</v>
      </c>
      <c r="G11" s="241" t="s">
        <v>552</v>
      </c>
      <c r="H11" s="242" t="s">
        <v>467</v>
      </c>
      <c r="I11" s="243" t="s">
        <v>397</v>
      </c>
      <c r="J11" s="43" t="s">
        <v>538</v>
      </c>
      <c r="K11" s="244" t="s">
        <v>473</v>
      </c>
      <c r="L11" s="244" t="s">
        <v>472</v>
      </c>
      <c r="M11" s="44" t="s">
        <v>539</v>
      </c>
      <c r="N11" s="44" t="s">
        <v>540</v>
      </c>
      <c r="O11" s="45" t="s">
        <v>541</v>
      </c>
      <c r="P11" s="46" t="s">
        <v>542</v>
      </c>
      <c r="Q11" s="42" t="s">
        <v>543</v>
      </c>
      <c r="R11" s="240" t="s">
        <v>433</v>
      </c>
      <c r="S11" s="240" t="s">
        <v>481</v>
      </c>
      <c r="T11" s="81" t="s">
        <v>463</v>
      </c>
      <c r="U11" s="47" t="s">
        <v>443</v>
      </c>
      <c r="V11" s="250" t="s">
        <v>510</v>
      </c>
    </row>
    <row r="12" spans="1:22" s="48" customFormat="1" ht="63.75" customHeight="1" thickBot="1" x14ac:dyDescent="0.3">
      <c r="A12" s="339">
        <v>0</v>
      </c>
      <c r="B12" s="58"/>
      <c r="C12" s="58"/>
      <c r="D12" s="109"/>
      <c r="E12" s="114"/>
      <c r="F12" s="61"/>
      <c r="G12" s="213" t="s">
        <v>398</v>
      </c>
      <c r="H12" s="214" t="s">
        <v>534</v>
      </c>
      <c r="I12" s="215">
        <v>45667</v>
      </c>
      <c r="J12" s="216">
        <v>20</v>
      </c>
      <c r="K12" s="217">
        <v>2</v>
      </c>
      <c r="L12" s="217"/>
      <c r="M12" s="218">
        <f t="shared" ref="M12:M28" si="0">J12*K12/60</f>
        <v>0.66666666666666663</v>
      </c>
      <c r="N12" s="218">
        <f t="shared" ref="N12:N28" si="1">J12*L12/60</f>
        <v>0</v>
      </c>
      <c r="O12" s="219"/>
      <c r="P12" s="220" t="s">
        <v>399</v>
      </c>
      <c r="Q12" s="223"/>
      <c r="R12" s="217"/>
      <c r="S12" s="217"/>
      <c r="T12" s="230" t="s">
        <v>441</v>
      </c>
      <c r="U12" s="226" t="s">
        <v>436</v>
      </c>
      <c r="V12" s="251"/>
    </row>
    <row r="13" spans="1:22" s="48" customFormat="1" ht="87.75" customHeight="1" thickBot="1" x14ac:dyDescent="0.3">
      <c r="A13" s="340">
        <v>0</v>
      </c>
      <c r="B13" s="59"/>
      <c r="C13" s="59"/>
      <c r="D13" s="110"/>
      <c r="E13" s="115"/>
      <c r="F13" s="62"/>
      <c r="G13" s="213" t="s">
        <v>398</v>
      </c>
      <c r="H13" s="214" t="s">
        <v>533</v>
      </c>
      <c r="I13" s="215">
        <v>45685</v>
      </c>
      <c r="J13" s="216">
        <v>30</v>
      </c>
      <c r="K13" s="217">
        <v>2</v>
      </c>
      <c r="L13" s="217"/>
      <c r="M13" s="218">
        <f t="shared" si="0"/>
        <v>1</v>
      </c>
      <c r="N13" s="218">
        <f t="shared" si="1"/>
        <v>0</v>
      </c>
      <c r="O13" s="219"/>
      <c r="P13" s="220" t="s">
        <v>399</v>
      </c>
      <c r="Q13" s="223"/>
      <c r="R13" s="217"/>
      <c r="S13" s="217"/>
      <c r="T13" s="225"/>
      <c r="U13" s="226" t="s">
        <v>436</v>
      </c>
      <c r="V13" s="251"/>
    </row>
    <row r="14" spans="1:22" s="48" customFormat="1" ht="53.25" customHeight="1" thickBot="1" x14ac:dyDescent="0.3">
      <c r="A14" s="340">
        <v>0</v>
      </c>
      <c r="B14" s="59"/>
      <c r="C14" s="59"/>
      <c r="D14" s="110"/>
      <c r="E14" s="115"/>
      <c r="F14" s="62"/>
      <c r="G14" s="213" t="s">
        <v>398</v>
      </c>
      <c r="H14" s="214" t="s">
        <v>643</v>
      </c>
      <c r="I14" s="215">
        <v>45853</v>
      </c>
      <c r="J14" s="216">
        <v>30</v>
      </c>
      <c r="K14" s="217">
        <v>2</v>
      </c>
      <c r="L14" s="217"/>
      <c r="M14" s="218">
        <f t="shared" si="0"/>
        <v>1</v>
      </c>
      <c r="N14" s="218">
        <f t="shared" si="1"/>
        <v>0</v>
      </c>
      <c r="O14" s="219"/>
      <c r="P14" s="220" t="s">
        <v>401</v>
      </c>
      <c r="Q14" s="223"/>
      <c r="R14" s="217"/>
      <c r="S14" s="229"/>
      <c r="T14" s="225"/>
      <c r="U14" s="226" t="s">
        <v>436</v>
      </c>
      <c r="V14" s="251"/>
    </row>
    <row r="15" spans="1:22" s="48" customFormat="1" ht="57.75" customHeight="1" thickBot="1" x14ac:dyDescent="0.3">
      <c r="A15" s="340">
        <v>0</v>
      </c>
      <c r="B15" s="59"/>
      <c r="C15" s="59"/>
      <c r="D15" s="110"/>
      <c r="E15" s="115"/>
      <c r="F15" s="62"/>
      <c r="G15" s="213" t="s">
        <v>402</v>
      </c>
      <c r="H15" s="214" t="s">
        <v>429</v>
      </c>
      <c r="I15" s="215">
        <v>45950</v>
      </c>
      <c r="J15" s="216">
        <v>45</v>
      </c>
      <c r="K15" s="217">
        <v>1</v>
      </c>
      <c r="L15" s="217"/>
      <c r="M15" s="218">
        <f t="shared" si="0"/>
        <v>0.75</v>
      </c>
      <c r="N15" s="218">
        <f t="shared" si="1"/>
        <v>0</v>
      </c>
      <c r="O15" s="222"/>
      <c r="P15" s="220" t="s">
        <v>403</v>
      </c>
      <c r="Q15" s="223"/>
      <c r="R15" s="217"/>
      <c r="S15" s="229"/>
      <c r="T15" s="225"/>
      <c r="U15" s="226" t="s">
        <v>436</v>
      </c>
      <c r="V15" s="251"/>
    </row>
    <row r="16" spans="1:22" s="48" customFormat="1" ht="72" customHeight="1" thickBot="1" x14ac:dyDescent="0.3">
      <c r="A16" s="340">
        <v>0</v>
      </c>
      <c r="B16" s="59"/>
      <c r="C16" s="59"/>
      <c r="D16" s="110"/>
      <c r="E16" s="115"/>
      <c r="F16" s="62"/>
      <c r="G16" s="213" t="s">
        <v>404</v>
      </c>
      <c r="H16" s="214" t="s">
        <v>430</v>
      </c>
      <c r="I16" s="215">
        <v>45950</v>
      </c>
      <c r="J16" s="216">
        <v>30</v>
      </c>
      <c r="K16" s="217">
        <v>1</v>
      </c>
      <c r="L16" s="217"/>
      <c r="M16" s="218">
        <f t="shared" si="0"/>
        <v>0.5</v>
      </c>
      <c r="N16" s="218">
        <f t="shared" si="1"/>
        <v>0</v>
      </c>
      <c r="O16" s="222"/>
      <c r="P16" s="220" t="s">
        <v>403</v>
      </c>
      <c r="Q16" s="223"/>
      <c r="R16" s="217"/>
      <c r="S16" s="224"/>
      <c r="T16" s="225" t="s">
        <v>567</v>
      </c>
      <c r="U16" s="226" t="s">
        <v>436</v>
      </c>
      <c r="V16" s="251"/>
    </row>
    <row r="17" spans="1:22" s="48" customFormat="1" ht="31.5" thickBot="1" x14ac:dyDescent="0.3">
      <c r="A17" s="340">
        <v>0</v>
      </c>
      <c r="B17" s="59"/>
      <c r="C17" s="59"/>
      <c r="D17" s="110"/>
      <c r="E17" s="115"/>
      <c r="F17" s="62"/>
      <c r="G17" s="213" t="s">
        <v>446</v>
      </c>
      <c r="H17" s="214"/>
      <c r="I17" s="215"/>
      <c r="J17" s="216"/>
      <c r="K17" s="217"/>
      <c r="L17" s="217"/>
      <c r="M17" s="218">
        <f t="shared" si="0"/>
        <v>0</v>
      </c>
      <c r="N17" s="218">
        <f t="shared" si="1"/>
        <v>0</v>
      </c>
      <c r="O17" s="222"/>
      <c r="P17" s="220"/>
      <c r="Q17" s="223" t="s">
        <v>529</v>
      </c>
      <c r="R17" s="217">
        <v>54</v>
      </c>
      <c r="S17" s="224">
        <f>1.54*54</f>
        <v>83.16</v>
      </c>
      <c r="T17" s="225" t="s">
        <v>468</v>
      </c>
      <c r="U17" s="226" t="s">
        <v>436</v>
      </c>
      <c r="V17" s="251"/>
    </row>
    <row r="18" spans="1:22" s="48" customFormat="1" ht="38.25" customHeight="1" thickBot="1" x14ac:dyDescent="0.3">
      <c r="A18" s="340">
        <v>0</v>
      </c>
      <c r="B18" s="59"/>
      <c r="C18" s="59"/>
      <c r="D18" s="110"/>
      <c r="E18" s="115"/>
      <c r="F18" s="62"/>
      <c r="G18" s="213" t="s">
        <v>446</v>
      </c>
      <c r="H18" s="214"/>
      <c r="I18" s="215"/>
      <c r="J18" s="216"/>
      <c r="K18" s="217"/>
      <c r="L18" s="217"/>
      <c r="M18" s="218">
        <f t="shared" si="0"/>
        <v>0</v>
      </c>
      <c r="N18" s="218">
        <f t="shared" si="1"/>
        <v>0</v>
      </c>
      <c r="O18" s="222"/>
      <c r="P18" s="220"/>
      <c r="Q18" s="223" t="s">
        <v>530</v>
      </c>
      <c r="R18" s="217">
        <v>18</v>
      </c>
      <c r="S18" s="224">
        <f>18*2.44</f>
        <v>43.92</v>
      </c>
      <c r="T18" s="225" t="s">
        <v>469</v>
      </c>
      <c r="U18" s="226" t="s">
        <v>436</v>
      </c>
      <c r="V18" s="251"/>
    </row>
    <row r="19" spans="1:22" s="48" customFormat="1" ht="48.75" customHeight="1" thickBot="1" x14ac:dyDescent="0.3">
      <c r="A19" s="340">
        <v>0</v>
      </c>
      <c r="B19" s="59"/>
      <c r="C19" s="59"/>
      <c r="D19" s="110"/>
      <c r="E19" s="115"/>
      <c r="F19" s="62"/>
      <c r="G19" s="213" t="s">
        <v>446</v>
      </c>
      <c r="H19" s="214"/>
      <c r="I19" s="215"/>
      <c r="J19" s="216"/>
      <c r="K19" s="217"/>
      <c r="L19" s="217"/>
      <c r="M19" s="218">
        <f t="shared" si="0"/>
        <v>0</v>
      </c>
      <c r="N19" s="218">
        <f t="shared" si="1"/>
        <v>0</v>
      </c>
      <c r="O19" s="222"/>
      <c r="P19" s="220"/>
      <c r="Q19" s="223" t="s">
        <v>563</v>
      </c>
      <c r="R19" s="217">
        <v>172</v>
      </c>
      <c r="S19" s="224">
        <f>172*2.44</f>
        <v>419.68</v>
      </c>
      <c r="T19" s="225" t="s">
        <v>468</v>
      </c>
      <c r="U19" s="226" t="s">
        <v>436</v>
      </c>
      <c r="V19" s="251"/>
    </row>
    <row r="20" spans="1:22" s="48" customFormat="1" ht="30.75" thickBot="1" x14ac:dyDescent="0.3">
      <c r="A20" s="340">
        <v>0</v>
      </c>
      <c r="B20" s="59"/>
      <c r="C20" s="59"/>
      <c r="D20" s="110"/>
      <c r="E20" s="115"/>
      <c r="F20" s="62"/>
      <c r="G20" s="213" t="s">
        <v>446</v>
      </c>
      <c r="H20" s="214"/>
      <c r="I20" s="215"/>
      <c r="J20" s="216"/>
      <c r="K20" s="217"/>
      <c r="L20" s="217"/>
      <c r="M20" s="218">
        <f t="shared" si="0"/>
        <v>0</v>
      </c>
      <c r="N20" s="218">
        <f t="shared" si="1"/>
        <v>0</v>
      </c>
      <c r="O20" s="222"/>
      <c r="P20" s="220"/>
      <c r="Q20" s="223" t="s">
        <v>405</v>
      </c>
      <c r="R20" s="217">
        <v>100</v>
      </c>
      <c r="S20" s="224">
        <v>200</v>
      </c>
      <c r="T20" s="225" t="s">
        <v>431</v>
      </c>
      <c r="U20" s="226" t="s">
        <v>436</v>
      </c>
      <c r="V20" s="251"/>
    </row>
    <row r="21" spans="1:22" s="48" customFormat="1" ht="34.5" customHeight="1" thickBot="1" x14ac:dyDescent="0.3">
      <c r="A21" s="340">
        <v>0</v>
      </c>
      <c r="B21" s="59"/>
      <c r="C21" s="59"/>
      <c r="D21" s="110"/>
      <c r="E21" s="115"/>
      <c r="F21" s="62"/>
      <c r="G21" s="213" t="s">
        <v>446</v>
      </c>
      <c r="H21" s="214"/>
      <c r="I21" s="215"/>
      <c r="J21" s="216"/>
      <c r="K21" s="217"/>
      <c r="L21" s="217"/>
      <c r="M21" s="218">
        <f t="shared" si="0"/>
        <v>0</v>
      </c>
      <c r="N21" s="218">
        <f t="shared" si="1"/>
        <v>0</v>
      </c>
      <c r="O21" s="222"/>
      <c r="P21" s="220"/>
      <c r="Q21" s="223"/>
      <c r="R21" s="217"/>
      <c r="S21" s="224">
        <v>15</v>
      </c>
      <c r="T21" s="225" t="s">
        <v>432</v>
      </c>
      <c r="U21" s="226" t="s">
        <v>436</v>
      </c>
      <c r="V21" s="251"/>
    </row>
    <row r="22" spans="1:22" s="48" customFormat="1" ht="46.5" thickBot="1" x14ac:dyDescent="0.3">
      <c r="A22" s="340">
        <v>0</v>
      </c>
      <c r="B22" s="59"/>
      <c r="C22" s="59"/>
      <c r="D22" s="110"/>
      <c r="E22" s="115"/>
      <c r="F22" s="62"/>
      <c r="G22" s="213" t="s">
        <v>446</v>
      </c>
      <c r="H22" s="214"/>
      <c r="I22" s="215"/>
      <c r="J22" s="216"/>
      <c r="K22" s="217"/>
      <c r="L22" s="217"/>
      <c r="M22" s="218">
        <f t="shared" si="0"/>
        <v>0</v>
      </c>
      <c r="N22" s="218">
        <f t="shared" si="1"/>
        <v>0</v>
      </c>
      <c r="O22" s="222"/>
      <c r="P22" s="220"/>
      <c r="Q22" s="223" t="s">
        <v>531</v>
      </c>
      <c r="R22" s="217">
        <v>18</v>
      </c>
      <c r="S22" s="224">
        <f>2.43*18</f>
        <v>43.74</v>
      </c>
      <c r="T22" s="228" t="s">
        <v>434</v>
      </c>
      <c r="U22" s="226" t="s">
        <v>436</v>
      </c>
      <c r="V22" s="251"/>
    </row>
    <row r="23" spans="1:22" s="48" customFormat="1" ht="33" customHeight="1" thickBot="1" x14ac:dyDescent="0.3">
      <c r="A23" s="340">
        <v>0</v>
      </c>
      <c r="B23" s="59"/>
      <c r="C23" s="59"/>
      <c r="D23" s="110"/>
      <c r="E23" s="115"/>
      <c r="F23" s="62"/>
      <c r="G23" s="213" t="s">
        <v>446</v>
      </c>
      <c r="H23" s="214"/>
      <c r="I23" s="215"/>
      <c r="J23" s="216"/>
      <c r="K23" s="217"/>
      <c r="L23" s="217"/>
      <c r="M23" s="218">
        <f t="shared" si="0"/>
        <v>0</v>
      </c>
      <c r="N23" s="218">
        <f t="shared" si="1"/>
        <v>0</v>
      </c>
      <c r="O23" s="222"/>
      <c r="P23" s="220"/>
      <c r="Q23" s="223"/>
      <c r="R23" s="217"/>
      <c r="S23" s="224">
        <v>6.33</v>
      </c>
      <c r="T23" s="225" t="s">
        <v>532</v>
      </c>
      <c r="U23" s="226" t="s">
        <v>436</v>
      </c>
      <c r="V23" s="251"/>
    </row>
    <row r="24" spans="1:22" s="48" customFormat="1" ht="153" customHeight="1" thickBot="1" x14ac:dyDescent="0.3">
      <c r="A24" s="340">
        <v>0</v>
      </c>
      <c r="B24" s="59"/>
      <c r="C24" s="59"/>
      <c r="D24" s="110"/>
      <c r="E24" s="115"/>
      <c r="F24" s="62"/>
      <c r="G24" s="213" t="s">
        <v>446</v>
      </c>
      <c r="H24" s="221"/>
      <c r="I24" s="215"/>
      <c r="J24" s="216"/>
      <c r="K24" s="217"/>
      <c r="L24" s="217"/>
      <c r="M24" s="218">
        <f t="shared" si="0"/>
        <v>0</v>
      </c>
      <c r="N24" s="218">
        <f t="shared" si="1"/>
        <v>0</v>
      </c>
      <c r="O24" s="222"/>
      <c r="P24" s="220"/>
      <c r="Q24" s="223" t="s">
        <v>438</v>
      </c>
      <c r="R24" s="217">
        <v>262</v>
      </c>
      <c r="S24" s="224">
        <f>R24*0.56/1.19</f>
        <v>123.29411764705885</v>
      </c>
      <c r="T24" s="225" t="s">
        <v>470</v>
      </c>
      <c r="U24" s="226" t="s">
        <v>573</v>
      </c>
      <c r="V24" s="251"/>
    </row>
    <row r="25" spans="1:22" s="48" customFormat="1" ht="60.75" thickBot="1" x14ac:dyDescent="0.3">
      <c r="A25" s="340">
        <v>0</v>
      </c>
      <c r="B25" s="60"/>
      <c r="C25" s="60"/>
      <c r="D25" s="111"/>
      <c r="E25" s="116"/>
      <c r="F25" s="64"/>
      <c r="G25" s="213" t="s">
        <v>446</v>
      </c>
      <c r="H25" s="214"/>
      <c r="I25" s="215"/>
      <c r="J25" s="216"/>
      <c r="K25" s="217"/>
      <c r="L25" s="217"/>
      <c r="M25" s="218">
        <f t="shared" si="0"/>
        <v>0</v>
      </c>
      <c r="N25" s="218">
        <f t="shared" si="1"/>
        <v>0</v>
      </c>
      <c r="O25" s="219"/>
      <c r="P25" s="220"/>
      <c r="Q25" s="223" t="s">
        <v>435</v>
      </c>
      <c r="R25" s="217" t="s">
        <v>437</v>
      </c>
      <c r="S25" s="224">
        <f>26.9*2/1.19</f>
        <v>45.210084033613448</v>
      </c>
      <c r="T25" s="225" t="s">
        <v>471</v>
      </c>
      <c r="U25" s="226" t="s">
        <v>436</v>
      </c>
      <c r="V25" s="251"/>
    </row>
    <row r="26" spans="1:22" s="48" customFormat="1" ht="45" x14ac:dyDescent="0.25">
      <c r="A26" s="340">
        <v>0</v>
      </c>
      <c r="B26" s="60"/>
      <c r="C26" s="60"/>
      <c r="D26" s="111"/>
      <c r="E26" s="116"/>
      <c r="F26" s="64"/>
      <c r="G26" s="213" t="s">
        <v>446</v>
      </c>
      <c r="H26" s="214"/>
      <c r="I26" s="215"/>
      <c r="J26" s="216"/>
      <c r="K26" s="217"/>
      <c r="L26" s="217"/>
      <c r="M26" s="218">
        <f t="shared" si="0"/>
        <v>0</v>
      </c>
      <c r="N26" s="218">
        <f t="shared" si="1"/>
        <v>0</v>
      </c>
      <c r="O26" s="219"/>
      <c r="P26" s="220"/>
      <c r="Q26" s="227" t="s">
        <v>439</v>
      </c>
      <c r="R26" s="217">
        <v>80</v>
      </c>
      <c r="S26" s="224">
        <f>SUM(R26*1.31)/1.19</f>
        <v>88.067226890756316</v>
      </c>
      <c r="T26" s="225" t="s">
        <v>440</v>
      </c>
      <c r="U26" s="226" t="s">
        <v>436</v>
      </c>
      <c r="V26" s="251"/>
    </row>
    <row r="27" spans="1:22" s="48" customFormat="1" ht="95.25" customHeight="1" x14ac:dyDescent="0.25">
      <c r="A27" s="340">
        <v>0</v>
      </c>
      <c r="B27" s="60"/>
      <c r="C27" s="60"/>
      <c r="D27" s="111"/>
      <c r="E27" s="116"/>
      <c r="F27" s="64"/>
      <c r="G27" s="415" t="s">
        <v>406</v>
      </c>
      <c r="H27" s="416" t="s">
        <v>407</v>
      </c>
      <c r="I27" s="417">
        <v>45852</v>
      </c>
      <c r="J27" s="418">
        <v>20</v>
      </c>
      <c r="K27" s="419">
        <v>1</v>
      </c>
      <c r="L27" s="419"/>
      <c r="M27" s="420">
        <f t="shared" si="0"/>
        <v>0.33333333333333331</v>
      </c>
      <c r="N27" s="420">
        <f t="shared" si="1"/>
        <v>0</v>
      </c>
      <c r="O27" s="421" t="s">
        <v>648</v>
      </c>
      <c r="P27" s="422" t="s">
        <v>577</v>
      </c>
      <c r="Q27" s="423" t="s">
        <v>466</v>
      </c>
      <c r="R27" s="424" t="s">
        <v>580</v>
      </c>
      <c r="S27" s="425">
        <f>0.2*27</f>
        <v>5.4</v>
      </c>
      <c r="T27" s="426" t="s">
        <v>581</v>
      </c>
      <c r="U27" s="426" t="s">
        <v>436</v>
      </c>
      <c r="V27" s="252"/>
    </row>
    <row r="28" spans="1:22" s="48" customFormat="1" ht="30.75" thickBot="1" x14ac:dyDescent="0.3">
      <c r="A28" s="341">
        <v>0</v>
      </c>
      <c r="B28" s="117"/>
      <c r="C28" s="117"/>
      <c r="D28" s="118"/>
      <c r="E28" s="119"/>
      <c r="F28" s="120"/>
      <c r="G28" s="415" t="s">
        <v>408</v>
      </c>
      <c r="H28" s="416" t="s">
        <v>411</v>
      </c>
      <c r="I28" s="417">
        <v>45930</v>
      </c>
      <c r="J28" s="418">
        <v>20</v>
      </c>
      <c r="K28" s="419">
        <v>1</v>
      </c>
      <c r="L28" s="419"/>
      <c r="M28" s="420">
        <f t="shared" si="0"/>
        <v>0.33333333333333331</v>
      </c>
      <c r="N28" s="420">
        <f t="shared" si="1"/>
        <v>0</v>
      </c>
      <c r="O28" s="421"/>
      <c r="P28" s="422" t="s">
        <v>412</v>
      </c>
      <c r="Q28" s="427"/>
      <c r="R28" s="428"/>
      <c r="S28" s="429"/>
      <c r="T28" s="430"/>
      <c r="U28" s="431"/>
      <c r="V28" s="252"/>
    </row>
    <row r="29" spans="1:22" s="48" customFormat="1" ht="33" customHeight="1" thickBot="1" x14ac:dyDescent="0.3">
      <c r="A29" s="135">
        <v>0</v>
      </c>
      <c r="B29" s="123">
        <f>SUM(M12:M28)*D8</f>
        <v>100.83333333333333</v>
      </c>
      <c r="C29" s="123">
        <f>SUM(N12:N28)*D9</f>
        <v>0</v>
      </c>
      <c r="D29" s="124">
        <f>SUM(S12:S28)</f>
        <v>1073.8014285714289</v>
      </c>
      <c r="E29" s="125">
        <f>SUM(B29:D29)</f>
        <v>1174.6347619047622</v>
      </c>
      <c r="F29" s="126">
        <f>SUM(V12:V28)</f>
        <v>0</v>
      </c>
      <c r="G29" s="107"/>
      <c r="H29" s="66"/>
      <c r="I29" s="67"/>
      <c r="J29" s="68"/>
      <c r="K29" s="69"/>
      <c r="L29" s="69"/>
      <c r="M29" s="69"/>
      <c r="N29" s="69"/>
      <c r="O29" s="70"/>
      <c r="P29" s="71"/>
      <c r="Q29" s="72"/>
      <c r="R29" s="73"/>
      <c r="S29" s="74"/>
      <c r="T29" s="75"/>
      <c r="U29" s="76"/>
      <c r="V29" s="252"/>
    </row>
    <row r="30" spans="1:22" s="48" customFormat="1" ht="45" x14ac:dyDescent="0.25">
      <c r="A30" s="342">
        <v>1</v>
      </c>
      <c r="B30" s="121"/>
      <c r="C30" s="121"/>
      <c r="D30" s="121"/>
      <c r="E30" s="112"/>
      <c r="F30" s="113"/>
      <c r="G30" s="415" t="s">
        <v>413</v>
      </c>
      <c r="H30" s="416" t="s">
        <v>414</v>
      </c>
      <c r="I30" s="432">
        <v>2026</v>
      </c>
      <c r="J30" s="418">
        <v>20</v>
      </c>
      <c r="K30" s="419">
        <v>1</v>
      </c>
      <c r="L30" s="419"/>
      <c r="M30" s="420">
        <f t="shared" ref="M30:M36" si="2">J30*K30/60</f>
        <v>0.33333333333333331</v>
      </c>
      <c r="N30" s="420">
        <f t="shared" ref="N30:N36" si="3">J30*L30/60</f>
        <v>0</v>
      </c>
      <c r="O30" s="421"/>
      <c r="P30" s="422" t="s">
        <v>415</v>
      </c>
      <c r="Q30" s="423" t="s">
        <v>466</v>
      </c>
      <c r="R30" s="424" t="s">
        <v>580</v>
      </c>
      <c r="S30" s="425">
        <f>M30*17</f>
        <v>5.6666666666666661</v>
      </c>
      <c r="T30" s="433"/>
      <c r="U30" s="426" t="s">
        <v>436</v>
      </c>
      <c r="V30" s="252"/>
    </row>
    <row r="31" spans="1:22" s="48" customFormat="1" ht="165" customHeight="1" x14ac:dyDescent="0.25">
      <c r="A31" s="343">
        <v>1</v>
      </c>
      <c r="B31" s="60"/>
      <c r="C31" s="60"/>
      <c r="D31" s="60"/>
      <c r="E31" s="63"/>
      <c r="F31" s="64"/>
      <c r="G31" s="415" t="s">
        <v>416</v>
      </c>
      <c r="H31" s="416" t="s">
        <v>579</v>
      </c>
      <c r="I31" s="432">
        <v>2026</v>
      </c>
      <c r="J31" s="418">
        <v>140</v>
      </c>
      <c r="K31" s="419">
        <v>1</v>
      </c>
      <c r="L31" s="419">
        <v>1</v>
      </c>
      <c r="M31" s="420">
        <f t="shared" si="2"/>
        <v>2.3333333333333335</v>
      </c>
      <c r="N31" s="420">
        <f t="shared" si="3"/>
        <v>2.3333333333333335</v>
      </c>
      <c r="O31" s="421" t="s">
        <v>569</v>
      </c>
      <c r="P31" s="422" t="s">
        <v>486</v>
      </c>
      <c r="Q31" s="434" t="s">
        <v>453</v>
      </c>
      <c r="R31" s="435"/>
      <c r="S31" s="436">
        <v>300</v>
      </c>
      <c r="T31" s="437" t="s">
        <v>576</v>
      </c>
      <c r="U31" s="437" t="s">
        <v>573</v>
      </c>
      <c r="V31" s="176"/>
    </row>
    <row r="32" spans="1:22" s="48" customFormat="1" ht="57" customHeight="1" x14ac:dyDescent="0.25">
      <c r="A32" s="343">
        <v>1</v>
      </c>
      <c r="B32" s="60"/>
      <c r="C32" s="60"/>
      <c r="D32" s="60"/>
      <c r="E32" s="63"/>
      <c r="F32" s="64"/>
      <c r="G32" s="415"/>
      <c r="H32" s="416"/>
      <c r="I32" s="432"/>
      <c r="J32" s="418"/>
      <c r="K32" s="419"/>
      <c r="L32" s="419"/>
      <c r="M32" s="420">
        <f t="shared" si="2"/>
        <v>0</v>
      </c>
      <c r="N32" s="420">
        <f t="shared" si="3"/>
        <v>0</v>
      </c>
      <c r="O32" s="421"/>
      <c r="P32" s="422" t="s">
        <v>584</v>
      </c>
      <c r="Q32" s="415" t="s">
        <v>454</v>
      </c>
      <c r="R32" s="435" t="s">
        <v>455</v>
      </c>
      <c r="S32" s="436">
        <f>150*1.7</f>
        <v>255</v>
      </c>
      <c r="T32" s="437" t="s">
        <v>482</v>
      </c>
      <c r="U32" s="437" t="s">
        <v>436</v>
      </c>
      <c r="V32" s="176"/>
    </row>
    <row r="33" spans="1:22" s="48" customFormat="1" ht="28.5" customHeight="1" x14ac:dyDescent="0.25">
      <c r="A33" s="343">
        <v>1</v>
      </c>
      <c r="B33" s="60"/>
      <c r="C33" s="60"/>
      <c r="D33" s="60"/>
      <c r="E33" s="63"/>
      <c r="F33" s="64"/>
      <c r="G33" s="415"/>
      <c r="H33" s="416"/>
      <c r="I33" s="432"/>
      <c r="J33" s="418"/>
      <c r="K33" s="419"/>
      <c r="L33" s="419"/>
      <c r="M33" s="420">
        <f t="shared" si="2"/>
        <v>0</v>
      </c>
      <c r="N33" s="420">
        <f t="shared" si="3"/>
        <v>0</v>
      </c>
      <c r="O33" s="421"/>
      <c r="P33" s="438"/>
      <c r="Q33" s="415" t="s">
        <v>466</v>
      </c>
      <c r="R33" s="435" t="s">
        <v>582</v>
      </c>
      <c r="S33" s="425">
        <f>40*M31</f>
        <v>93.333333333333343</v>
      </c>
      <c r="T33" s="426" t="s">
        <v>583</v>
      </c>
      <c r="U33" s="426" t="s">
        <v>436</v>
      </c>
      <c r="V33" s="252"/>
    </row>
    <row r="34" spans="1:22" s="48" customFormat="1" ht="128.25" customHeight="1" x14ac:dyDescent="0.25">
      <c r="A34" s="343">
        <v>1</v>
      </c>
      <c r="B34" s="60"/>
      <c r="C34" s="60"/>
      <c r="D34" s="60"/>
      <c r="E34" s="63"/>
      <c r="F34" s="64"/>
      <c r="G34" s="415" t="s">
        <v>417</v>
      </c>
      <c r="H34" s="416" t="s">
        <v>528</v>
      </c>
      <c r="I34" s="432">
        <v>2026</v>
      </c>
      <c r="J34" s="418">
        <v>90</v>
      </c>
      <c r="K34" s="419">
        <v>1</v>
      </c>
      <c r="L34" s="419">
        <v>1</v>
      </c>
      <c r="M34" s="420">
        <f t="shared" si="2"/>
        <v>1.5</v>
      </c>
      <c r="N34" s="420">
        <f t="shared" si="3"/>
        <v>1.5</v>
      </c>
      <c r="O34" s="421" t="s">
        <v>485</v>
      </c>
      <c r="P34" s="422" t="s">
        <v>585</v>
      </c>
      <c r="Q34" s="415" t="s">
        <v>418</v>
      </c>
      <c r="R34" s="435" t="s">
        <v>419</v>
      </c>
      <c r="S34" s="436">
        <v>40</v>
      </c>
      <c r="T34" s="439" t="s">
        <v>570</v>
      </c>
      <c r="U34" s="426" t="s">
        <v>436</v>
      </c>
      <c r="V34" s="252"/>
    </row>
    <row r="35" spans="1:22" s="48" customFormat="1" x14ac:dyDescent="0.25">
      <c r="A35" s="343">
        <v>1</v>
      </c>
      <c r="B35" s="60"/>
      <c r="C35" s="60"/>
      <c r="D35" s="60"/>
      <c r="E35" s="63"/>
      <c r="F35" s="64"/>
      <c r="G35" s="415"/>
      <c r="H35" s="416"/>
      <c r="I35" s="432"/>
      <c r="J35" s="418"/>
      <c r="K35" s="419"/>
      <c r="L35" s="419"/>
      <c r="M35" s="420">
        <f t="shared" si="2"/>
        <v>0</v>
      </c>
      <c r="N35" s="420">
        <f t="shared" si="3"/>
        <v>0</v>
      </c>
      <c r="O35" s="421"/>
      <c r="P35" s="438"/>
      <c r="Q35" s="415" t="s">
        <v>466</v>
      </c>
      <c r="R35" s="435" t="s">
        <v>578</v>
      </c>
      <c r="S35" s="425">
        <f>M34*17</f>
        <v>25.5</v>
      </c>
      <c r="T35" s="433"/>
      <c r="U35" s="426" t="s">
        <v>436</v>
      </c>
      <c r="V35" s="252"/>
    </row>
    <row r="36" spans="1:22" s="48" customFormat="1" ht="75" x14ac:dyDescent="0.25">
      <c r="A36" s="343">
        <v>1</v>
      </c>
      <c r="B36" s="60"/>
      <c r="C36" s="60"/>
      <c r="D36" s="60"/>
      <c r="E36" s="63"/>
      <c r="F36" s="64"/>
      <c r="G36" s="440" t="s">
        <v>458</v>
      </c>
      <c r="H36" s="416" t="s">
        <v>459</v>
      </c>
      <c r="I36" s="432">
        <v>2026</v>
      </c>
      <c r="J36" s="418">
        <v>120</v>
      </c>
      <c r="K36" s="419">
        <v>1</v>
      </c>
      <c r="L36" s="419">
        <v>1</v>
      </c>
      <c r="M36" s="420">
        <f t="shared" si="2"/>
        <v>2</v>
      </c>
      <c r="N36" s="420">
        <f t="shared" si="3"/>
        <v>2</v>
      </c>
      <c r="O36" s="421" t="s">
        <v>478</v>
      </c>
      <c r="P36" s="422"/>
      <c r="Q36" s="415" t="s">
        <v>457</v>
      </c>
      <c r="R36" s="435" t="s">
        <v>506</v>
      </c>
      <c r="S36" s="429"/>
      <c r="T36" s="430"/>
      <c r="U36" s="426" t="s">
        <v>436</v>
      </c>
      <c r="V36" s="252"/>
    </row>
    <row r="37" spans="1:22" s="41" customFormat="1" ht="90" x14ac:dyDescent="0.25">
      <c r="A37" s="343">
        <v>1</v>
      </c>
      <c r="B37" s="60"/>
      <c r="C37" s="60"/>
      <c r="D37" s="60"/>
      <c r="E37" s="63"/>
      <c r="F37" s="64"/>
      <c r="G37" s="208" t="s">
        <v>421</v>
      </c>
      <c r="H37" s="77" t="s">
        <v>555</v>
      </c>
      <c r="I37" s="209">
        <v>2026</v>
      </c>
      <c r="J37" s="152">
        <v>120</v>
      </c>
      <c r="K37" s="153">
        <v>1</v>
      </c>
      <c r="L37" s="153"/>
      <c r="M37" s="196">
        <f>J37*K37/60</f>
        <v>2</v>
      </c>
      <c r="N37" s="196">
        <f>J37*L37/60</f>
        <v>0</v>
      </c>
      <c r="O37" s="96" t="s">
        <v>556</v>
      </c>
      <c r="P37" s="141" t="s">
        <v>554</v>
      </c>
      <c r="Q37" s="142" t="s">
        <v>422</v>
      </c>
      <c r="R37" s="143" t="s">
        <v>423</v>
      </c>
      <c r="S37" s="144">
        <v>0</v>
      </c>
      <c r="T37" s="145" t="s">
        <v>574</v>
      </c>
      <c r="U37" s="212" t="s">
        <v>573</v>
      </c>
      <c r="V37" s="254"/>
    </row>
    <row r="38" spans="1:22" s="41" customFormat="1" x14ac:dyDescent="0.25">
      <c r="A38" s="343">
        <v>1</v>
      </c>
      <c r="B38" s="60"/>
      <c r="C38" s="60"/>
      <c r="D38" s="60"/>
      <c r="E38" s="63"/>
      <c r="F38" s="64"/>
      <c r="G38" s="162"/>
      <c r="H38" s="77"/>
      <c r="I38" s="209"/>
      <c r="J38" s="146"/>
      <c r="K38" s="147"/>
      <c r="L38" s="147"/>
      <c r="M38" s="196">
        <f>J38*K38/60</f>
        <v>0</v>
      </c>
      <c r="N38" s="196">
        <f>J38*L38/60</f>
        <v>0</v>
      </c>
      <c r="O38" s="96"/>
      <c r="P38" s="98"/>
      <c r="Q38" s="142" t="s">
        <v>466</v>
      </c>
      <c r="R38" s="143" t="s">
        <v>580</v>
      </c>
      <c r="S38" s="144">
        <f>M37*27</f>
        <v>54</v>
      </c>
      <c r="T38" s="299"/>
      <c r="U38" s="82" t="s">
        <v>436</v>
      </c>
      <c r="V38" s="252"/>
    </row>
    <row r="39" spans="1:22" s="41" customFormat="1" ht="80.25" customHeight="1" thickBot="1" x14ac:dyDescent="0.3">
      <c r="A39" s="344">
        <v>1</v>
      </c>
      <c r="B39" s="117"/>
      <c r="C39" s="117"/>
      <c r="D39" s="117"/>
      <c r="E39" s="137"/>
      <c r="F39" s="120"/>
      <c r="G39" s="162" t="s">
        <v>461</v>
      </c>
      <c r="H39" s="78" t="s">
        <v>460</v>
      </c>
      <c r="I39" s="210">
        <v>2026</v>
      </c>
      <c r="J39" s="146">
        <v>25</v>
      </c>
      <c r="K39" s="147">
        <v>1</v>
      </c>
      <c r="L39" s="147"/>
      <c r="M39" s="196">
        <f>J39*K39/60</f>
        <v>0.41666666666666669</v>
      </c>
      <c r="N39" s="196">
        <f>J39*L39/60</f>
        <v>0</v>
      </c>
      <c r="O39" s="96" t="s">
        <v>462</v>
      </c>
      <c r="P39" s="148"/>
      <c r="Q39" s="80"/>
      <c r="R39" s="79"/>
      <c r="S39" s="149"/>
      <c r="T39" s="82" t="s">
        <v>484</v>
      </c>
      <c r="U39" s="201" t="s">
        <v>573</v>
      </c>
      <c r="V39" s="255"/>
    </row>
    <row r="40" spans="1:22" s="94" customFormat="1" ht="36" customHeight="1" thickBot="1" x14ac:dyDescent="0.3">
      <c r="A40" s="122">
        <v>1</v>
      </c>
      <c r="B40" s="138">
        <f>(SUM(M30:M39)*D8)*(1+2%)^1</f>
        <v>192.61</v>
      </c>
      <c r="C40" s="138">
        <f>(SUM(N30:N39)*D9)*(1+2%)^1</f>
        <v>82.705000000000013</v>
      </c>
      <c r="D40" s="123">
        <f>SUM(S30:S39)</f>
        <v>773.50000000000011</v>
      </c>
      <c r="E40" s="139">
        <f>SUM(B40:D40)</f>
        <v>1048.8150000000001</v>
      </c>
      <c r="F40" s="126">
        <f>SUM(V30:V39)</f>
        <v>0</v>
      </c>
      <c r="G40" s="108"/>
      <c r="H40" s="83"/>
      <c r="I40" s="84"/>
      <c r="J40" s="85"/>
      <c r="K40" s="131"/>
      <c r="L40" s="87"/>
      <c r="M40" s="131"/>
      <c r="N40" s="87"/>
      <c r="O40" s="88"/>
      <c r="P40" s="89"/>
      <c r="Q40" s="90"/>
      <c r="R40" s="86"/>
      <c r="S40" s="91"/>
      <c r="T40" s="92"/>
      <c r="U40" s="93"/>
      <c r="V40" s="255"/>
    </row>
    <row r="41" spans="1:22" s="41" customFormat="1" ht="108.75" customHeight="1" x14ac:dyDescent="0.25">
      <c r="A41" s="343">
        <v>2</v>
      </c>
      <c r="B41" s="60"/>
      <c r="C41" s="60"/>
      <c r="D41" s="60"/>
      <c r="E41" s="63"/>
      <c r="F41" s="64"/>
      <c r="G41" s="203" t="s">
        <v>559</v>
      </c>
      <c r="H41" s="204" t="s">
        <v>480</v>
      </c>
      <c r="I41" s="205">
        <v>2027</v>
      </c>
      <c r="J41" s="146">
        <v>60</v>
      </c>
      <c r="K41" s="195">
        <v>1</v>
      </c>
      <c r="L41" s="195"/>
      <c r="M41" s="196">
        <f>J41*K41/60</f>
        <v>1</v>
      </c>
      <c r="N41" s="196">
        <f>J41*L41/60</f>
        <v>0</v>
      </c>
      <c r="O41" s="140" t="s">
        <v>479</v>
      </c>
      <c r="P41" s="141" t="s">
        <v>558</v>
      </c>
      <c r="Q41" s="206" t="s">
        <v>557</v>
      </c>
      <c r="R41" s="147">
        <v>15</v>
      </c>
      <c r="S41" s="207">
        <f>2.25*R41</f>
        <v>33.75</v>
      </c>
      <c r="T41" s="151" t="s">
        <v>575</v>
      </c>
      <c r="U41" s="201" t="s">
        <v>573</v>
      </c>
      <c r="V41" s="255"/>
    </row>
    <row r="42" spans="1:22" s="41" customFormat="1" ht="72.75" customHeight="1" x14ac:dyDescent="0.25">
      <c r="A42" s="343">
        <v>2</v>
      </c>
      <c r="B42" s="60"/>
      <c r="C42" s="60"/>
      <c r="D42" s="60"/>
      <c r="E42" s="63"/>
      <c r="F42" s="64"/>
      <c r="G42" s="162" t="s">
        <v>487</v>
      </c>
      <c r="H42" s="78" t="s">
        <v>488</v>
      </c>
      <c r="I42" s="194">
        <v>2027</v>
      </c>
      <c r="J42" s="146">
        <v>40</v>
      </c>
      <c r="K42" s="147">
        <v>1</v>
      </c>
      <c r="L42" s="147"/>
      <c r="M42" s="196">
        <f>J42*K42/60</f>
        <v>0.66666666666666663</v>
      </c>
      <c r="N42" s="196">
        <f>J42*L42/60</f>
        <v>0</v>
      </c>
      <c r="O42" s="96" t="s">
        <v>483</v>
      </c>
      <c r="P42" s="148"/>
      <c r="Q42" s="198"/>
      <c r="R42" s="153"/>
      <c r="S42" s="199"/>
      <c r="T42" s="82" t="s">
        <v>484</v>
      </c>
      <c r="U42" s="201" t="s">
        <v>573</v>
      </c>
      <c r="V42" s="255"/>
    </row>
    <row r="43" spans="1:22" s="41" customFormat="1" ht="131.25" customHeight="1" x14ac:dyDescent="0.25">
      <c r="A43" s="343">
        <v>2</v>
      </c>
      <c r="B43" s="60"/>
      <c r="C43" s="60"/>
      <c r="D43" s="60"/>
      <c r="E43" s="63"/>
      <c r="F43" s="64"/>
      <c r="G43" s="203" t="s">
        <v>417</v>
      </c>
      <c r="H43" s="77" t="s">
        <v>528</v>
      </c>
      <c r="I43" s="200">
        <v>2027</v>
      </c>
      <c r="J43" s="152">
        <v>90</v>
      </c>
      <c r="K43" s="153">
        <v>1</v>
      </c>
      <c r="L43" s="153">
        <v>1</v>
      </c>
      <c r="M43" s="196">
        <f>J43*K43/60</f>
        <v>1.5</v>
      </c>
      <c r="N43" s="196">
        <f>J43*L43/60</f>
        <v>1.5</v>
      </c>
      <c r="O43" s="96" t="s">
        <v>485</v>
      </c>
      <c r="P43" s="154" t="s">
        <v>456</v>
      </c>
      <c r="Q43" s="142" t="s">
        <v>418</v>
      </c>
      <c r="R43" s="143" t="s">
        <v>419</v>
      </c>
      <c r="S43" s="144">
        <v>40</v>
      </c>
      <c r="T43" s="156" t="s">
        <v>570</v>
      </c>
      <c r="U43" s="82" t="s">
        <v>436</v>
      </c>
      <c r="V43" s="252"/>
    </row>
    <row r="44" spans="1:22" s="41" customFormat="1" ht="30.75" thickBot="1" x14ac:dyDescent="0.3">
      <c r="A44" s="343">
        <v>2</v>
      </c>
      <c r="B44" s="60"/>
      <c r="C44" s="60"/>
      <c r="D44" s="60"/>
      <c r="E44" s="63"/>
      <c r="F44" s="64"/>
      <c r="G44" s="162"/>
      <c r="H44" s="78"/>
      <c r="I44" s="200"/>
      <c r="J44" s="146"/>
      <c r="K44" s="147"/>
      <c r="L44" s="147"/>
      <c r="M44" s="196">
        <f>J44*K44/60</f>
        <v>0</v>
      </c>
      <c r="N44" s="196">
        <f>J44*L44/60</f>
        <v>0</v>
      </c>
      <c r="O44" s="155"/>
      <c r="P44" s="98"/>
      <c r="Q44" s="198" t="s">
        <v>466</v>
      </c>
      <c r="R44" s="309" t="s">
        <v>586</v>
      </c>
      <c r="S44" s="300">
        <f>32*M43</f>
        <v>48</v>
      </c>
      <c r="T44" s="95"/>
      <c r="U44" s="82" t="s">
        <v>436</v>
      </c>
      <c r="V44" s="252"/>
    </row>
    <row r="45" spans="1:22" s="94" customFormat="1" ht="36" customHeight="1" thickBot="1" x14ac:dyDescent="0.3">
      <c r="A45" s="122">
        <v>2</v>
      </c>
      <c r="B45" s="138">
        <f>(SUM(M41:M44)*D8)*(1+2%)^2</f>
        <v>72.481199999999987</v>
      </c>
      <c r="C45" s="138">
        <f>(SUM(N41:N44)*D9)*(1+2%)^2</f>
        <v>21.692340000000002</v>
      </c>
      <c r="D45" s="123">
        <f>SUM(S41:S44)</f>
        <v>121.75</v>
      </c>
      <c r="E45" s="139">
        <f>SUM(B45:D45)</f>
        <v>215.92354</v>
      </c>
      <c r="F45" s="126">
        <f>SUM(V41:V44)</f>
        <v>0</v>
      </c>
      <c r="G45" s="108"/>
      <c r="H45" s="83"/>
      <c r="I45" s="84"/>
      <c r="J45" s="85"/>
      <c r="K45" s="131"/>
      <c r="L45" s="87"/>
      <c r="M45" s="131"/>
      <c r="N45" s="87"/>
      <c r="O45" s="88"/>
      <c r="P45" s="89"/>
      <c r="Q45" s="90"/>
      <c r="R45" s="86"/>
      <c r="S45" s="91"/>
      <c r="T45" s="92"/>
      <c r="U45" s="93"/>
      <c r="V45" s="255"/>
    </row>
    <row r="46" spans="1:22" s="41" customFormat="1" ht="60" x14ac:dyDescent="0.25">
      <c r="A46" s="343">
        <v>3</v>
      </c>
      <c r="B46" s="60"/>
      <c r="C46" s="60"/>
      <c r="D46" s="60"/>
      <c r="E46" s="63"/>
      <c r="F46" s="64"/>
      <c r="G46" s="162" t="s">
        <v>487</v>
      </c>
      <c r="H46" s="78" t="s">
        <v>488</v>
      </c>
      <c r="I46" s="200">
        <v>2028</v>
      </c>
      <c r="J46" s="146">
        <v>40</v>
      </c>
      <c r="K46" s="147">
        <v>1</v>
      </c>
      <c r="L46" s="147"/>
      <c r="M46" s="196">
        <f>J46*K46/60</f>
        <v>0.66666666666666663</v>
      </c>
      <c r="N46" s="196">
        <f>J46*L46/60</f>
        <v>0</v>
      </c>
      <c r="O46" s="155"/>
      <c r="P46" s="197"/>
      <c r="Q46" s="142"/>
      <c r="R46" s="143"/>
      <c r="S46" s="144"/>
      <c r="T46" s="82" t="s">
        <v>484</v>
      </c>
      <c r="U46" s="201" t="s">
        <v>573</v>
      </c>
      <c r="V46" s="255"/>
    </row>
    <row r="47" spans="1:22" s="41" customFormat="1" ht="75.75" customHeight="1" thickBot="1" x14ac:dyDescent="0.3">
      <c r="A47" s="343">
        <v>3</v>
      </c>
      <c r="B47" s="60"/>
      <c r="C47" s="60"/>
      <c r="D47" s="60"/>
      <c r="E47" s="63"/>
      <c r="F47" s="64"/>
      <c r="G47" s="162" t="s">
        <v>491</v>
      </c>
      <c r="H47" s="78" t="s">
        <v>492</v>
      </c>
      <c r="I47" s="194">
        <v>2028</v>
      </c>
      <c r="J47" s="146">
        <f>104*2</f>
        <v>208</v>
      </c>
      <c r="K47" s="195">
        <v>1</v>
      </c>
      <c r="L47" s="195"/>
      <c r="M47" s="196">
        <f>J47*K47/60</f>
        <v>3.4666666666666668</v>
      </c>
      <c r="N47" s="196">
        <f>J47*L47/60</f>
        <v>0</v>
      </c>
      <c r="O47" s="155" t="s">
        <v>624</v>
      </c>
      <c r="P47" s="197"/>
      <c r="Q47" s="198" t="s">
        <v>424</v>
      </c>
      <c r="R47" s="153"/>
      <c r="S47" s="199"/>
      <c r="T47" s="156" t="s">
        <v>625</v>
      </c>
      <c r="U47" s="197" t="s">
        <v>436</v>
      </c>
      <c r="V47" s="256"/>
    </row>
    <row r="48" spans="1:22" s="94" customFormat="1" ht="36" customHeight="1" thickBot="1" x14ac:dyDescent="0.3">
      <c r="A48" s="122">
        <v>3</v>
      </c>
      <c r="B48" s="138">
        <f>(SUM(M46:M47)*D8)*(1+2%)^3</f>
        <v>96.499180799999991</v>
      </c>
      <c r="C48" s="138">
        <f>(SUM(N46:N47)*D9)*(1+2%)^3</f>
        <v>0</v>
      </c>
      <c r="D48" s="123">
        <f>SUM(S46:S47)</f>
        <v>0</v>
      </c>
      <c r="E48" s="139">
        <f>SUM(B48:D48)</f>
        <v>96.499180799999991</v>
      </c>
      <c r="F48" s="126">
        <f>SUM(V46:V47)</f>
        <v>0</v>
      </c>
      <c r="G48" s="108"/>
      <c r="H48" s="83"/>
      <c r="I48" s="84"/>
      <c r="J48" s="85"/>
      <c r="K48" s="131"/>
      <c r="L48" s="87"/>
      <c r="M48" s="131"/>
      <c r="N48" s="87"/>
      <c r="O48" s="88"/>
      <c r="P48" s="89"/>
      <c r="Q48" s="90"/>
      <c r="R48" s="86"/>
      <c r="S48" s="91"/>
      <c r="T48" s="92"/>
      <c r="U48" s="232"/>
      <c r="V48" s="255"/>
    </row>
    <row r="49" spans="1:23" s="41" customFormat="1" ht="48.2" customHeight="1" x14ac:dyDescent="0.25">
      <c r="A49" s="343">
        <v>4</v>
      </c>
      <c r="B49" s="60"/>
      <c r="C49" s="60"/>
      <c r="D49" s="60"/>
      <c r="E49" s="63"/>
      <c r="F49" s="64"/>
      <c r="G49" s="162" t="s">
        <v>461</v>
      </c>
      <c r="H49" s="78" t="s">
        <v>494</v>
      </c>
      <c r="I49" s="194">
        <v>2029</v>
      </c>
      <c r="J49" s="146">
        <v>100</v>
      </c>
      <c r="K49" s="195"/>
      <c r="L49" s="195">
        <v>1</v>
      </c>
      <c r="M49" s="196">
        <f>J49*K49/60</f>
        <v>0</v>
      </c>
      <c r="N49" s="196">
        <f>J49*L49/60</f>
        <v>1.6666666666666667</v>
      </c>
      <c r="O49" s="155"/>
      <c r="P49" s="97"/>
      <c r="Q49" s="202" t="s">
        <v>420</v>
      </c>
      <c r="R49" s="79"/>
      <c r="S49" s="149"/>
      <c r="T49" s="156" t="s">
        <v>571</v>
      </c>
      <c r="U49" s="197" t="s">
        <v>436</v>
      </c>
      <c r="V49" s="256"/>
    </row>
    <row r="50" spans="1:23" s="41" customFormat="1" ht="66" customHeight="1" x14ac:dyDescent="0.25">
      <c r="A50" s="343">
        <v>4</v>
      </c>
      <c r="B50" s="60"/>
      <c r="C50" s="60"/>
      <c r="D50" s="60"/>
      <c r="E50" s="63"/>
      <c r="F50" s="64"/>
      <c r="G50" s="162" t="s">
        <v>487</v>
      </c>
      <c r="H50" s="78" t="s">
        <v>495</v>
      </c>
      <c r="I50" s="194">
        <v>2029</v>
      </c>
      <c r="J50" s="146">
        <v>40</v>
      </c>
      <c r="K50" s="195">
        <v>1</v>
      </c>
      <c r="L50" s="195"/>
      <c r="M50" s="196">
        <f>J50*K50/60</f>
        <v>0.66666666666666663</v>
      </c>
      <c r="N50" s="196">
        <f>J50*L50/60</f>
        <v>0</v>
      </c>
      <c r="O50" s="99"/>
      <c r="P50" s="100"/>
      <c r="Q50" s="150"/>
      <c r="R50" s="79"/>
      <c r="S50" s="149"/>
      <c r="T50" s="82" t="s">
        <v>484</v>
      </c>
      <c r="U50" s="197" t="s">
        <v>436</v>
      </c>
      <c r="V50" s="256"/>
    </row>
    <row r="51" spans="1:23" s="41" customFormat="1" ht="66" customHeight="1" x14ac:dyDescent="0.25">
      <c r="A51" s="343">
        <v>4</v>
      </c>
      <c r="B51" s="60"/>
      <c r="C51" s="60"/>
      <c r="D51" s="60"/>
      <c r="E51" s="63"/>
      <c r="F51" s="64"/>
      <c r="G51" s="162" t="s">
        <v>491</v>
      </c>
      <c r="H51" s="78" t="s">
        <v>492</v>
      </c>
      <c r="I51" s="194">
        <v>2029</v>
      </c>
      <c r="J51" s="146">
        <f>104*2</f>
        <v>208</v>
      </c>
      <c r="K51" s="153">
        <v>1</v>
      </c>
      <c r="L51" s="153"/>
      <c r="M51" s="196">
        <f>J51*K51/60</f>
        <v>3.4666666666666668</v>
      </c>
      <c r="N51" s="196">
        <f>J51*L51/60</f>
        <v>0</v>
      </c>
      <c r="O51" s="155" t="s">
        <v>624</v>
      </c>
      <c r="P51" s="100"/>
      <c r="Q51" s="198" t="s">
        <v>424</v>
      </c>
      <c r="R51" s="153"/>
      <c r="S51" s="199"/>
      <c r="T51" s="156"/>
      <c r="U51" s="197" t="s">
        <v>436</v>
      </c>
      <c r="V51" s="256"/>
    </row>
    <row r="52" spans="1:23" s="41" customFormat="1" ht="62.25" customHeight="1" thickBot="1" x14ac:dyDescent="0.3">
      <c r="A52" s="343">
        <v>4</v>
      </c>
      <c r="B52" s="60"/>
      <c r="C52" s="60"/>
      <c r="D52" s="60"/>
      <c r="E52" s="63"/>
      <c r="F52" s="64"/>
      <c r="G52" s="170" t="s">
        <v>632</v>
      </c>
      <c r="H52" s="312" t="s">
        <v>634</v>
      </c>
      <c r="I52" s="314">
        <v>2029</v>
      </c>
      <c r="J52" s="164">
        <f>20*9</f>
        <v>180</v>
      </c>
      <c r="K52" s="235">
        <v>1</v>
      </c>
      <c r="L52" s="263"/>
      <c r="M52" s="236">
        <f>J52*K52/60</f>
        <v>3</v>
      </c>
      <c r="N52" s="236">
        <f>J52*L52/60</f>
        <v>0</v>
      </c>
      <c r="O52" s="313" t="s">
        <v>635</v>
      </c>
      <c r="P52" s="315" t="s">
        <v>636</v>
      </c>
      <c r="Q52" s="316"/>
      <c r="R52" s="263"/>
      <c r="S52" s="246"/>
      <c r="T52" s="313" t="s">
        <v>623</v>
      </c>
      <c r="U52" s="237" t="s">
        <v>436</v>
      </c>
      <c r="V52" s="255">
        <f>Futterlauberlöse!A33*(1+3%)^4</f>
        <v>7.2797909830799998</v>
      </c>
      <c r="W52" s="177"/>
    </row>
    <row r="53" spans="1:23" s="94" customFormat="1" ht="36" customHeight="1" thickBot="1" x14ac:dyDescent="0.3">
      <c r="A53" s="122">
        <v>4</v>
      </c>
      <c r="B53" s="138">
        <f>(SUM(M49:M52)*D8)*(1+2%)^4</f>
        <v>169.869686976</v>
      </c>
      <c r="C53" s="138">
        <f>(SUM(N49:N52)*D9)*(1+2%)^4</f>
        <v>25.07634504</v>
      </c>
      <c r="D53" s="123">
        <f>SUM(S49:S52)</f>
        <v>0</v>
      </c>
      <c r="E53" s="139">
        <f>SUM(B53:D53)</f>
        <v>194.946032016</v>
      </c>
      <c r="F53" s="126">
        <f>SUM(V49:V52)</f>
        <v>7.2797909830799998</v>
      </c>
      <c r="G53" s="108"/>
      <c r="H53" s="83"/>
      <c r="I53" s="84"/>
      <c r="J53" s="85"/>
      <c r="K53" s="131"/>
      <c r="L53" s="87"/>
      <c r="M53" s="131"/>
      <c r="N53" s="87"/>
      <c r="O53" s="88"/>
      <c r="P53" s="89"/>
      <c r="Q53" s="90"/>
      <c r="R53" s="86"/>
      <c r="S53" s="91"/>
      <c r="T53" s="92"/>
      <c r="U53" s="93"/>
      <c r="V53" s="255"/>
    </row>
    <row r="54" spans="1:23" s="41" customFormat="1" ht="54" customHeight="1" x14ac:dyDescent="0.25">
      <c r="A54" s="343">
        <v>5</v>
      </c>
      <c r="B54" s="60"/>
      <c r="C54" s="60"/>
      <c r="D54" s="60"/>
      <c r="E54" s="63"/>
      <c r="F54" s="64"/>
      <c r="G54" s="162" t="s">
        <v>487</v>
      </c>
      <c r="H54" s="78" t="s">
        <v>495</v>
      </c>
      <c r="I54" s="194">
        <v>2030</v>
      </c>
      <c r="J54" s="146">
        <v>30</v>
      </c>
      <c r="K54" s="195">
        <v>1</v>
      </c>
      <c r="L54" s="153"/>
      <c r="M54" s="196">
        <f>J54*K54/60</f>
        <v>0.5</v>
      </c>
      <c r="N54" s="196">
        <f>J54*L54/60</f>
        <v>0</v>
      </c>
      <c r="O54" s="233"/>
      <c r="P54" s="197"/>
      <c r="Q54" s="198"/>
      <c r="R54" s="153"/>
      <c r="S54" s="199"/>
      <c r="T54" s="156" t="s">
        <v>496</v>
      </c>
      <c r="U54" s="197" t="s">
        <v>436</v>
      </c>
      <c r="V54" s="256"/>
    </row>
    <row r="55" spans="1:23" s="41" customFormat="1" ht="69" customHeight="1" x14ac:dyDescent="0.25">
      <c r="A55" s="343">
        <v>5</v>
      </c>
      <c r="B55" s="60"/>
      <c r="C55" s="60"/>
      <c r="D55" s="60"/>
      <c r="E55" s="63"/>
      <c r="F55" s="64"/>
      <c r="G55" s="162" t="s">
        <v>491</v>
      </c>
      <c r="H55" s="78" t="s">
        <v>492</v>
      </c>
      <c r="I55" s="194">
        <v>2030</v>
      </c>
      <c r="J55" s="146">
        <f>104*2</f>
        <v>208</v>
      </c>
      <c r="K55" s="153">
        <v>1</v>
      </c>
      <c r="L55" s="153"/>
      <c r="M55" s="196">
        <f>J55*K55/60</f>
        <v>3.4666666666666668</v>
      </c>
      <c r="N55" s="196">
        <f>J55*L55/60</f>
        <v>0</v>
      </c>
      <c r="O55" s="155" t="s">
        <v>624</v>
      </c>
      <c r="P55" s="197"/>
      <c r="Q55" s="198" t="s">
        <v>424</v>
      </c>
      <c r="R55" s="153"/>
      <c r="S55" s="199"/>
      <c r="T55" s="156"/>
      <c r="U55" s="197" t="s">
        <v>436</v>
      </c>
      <c r="V55" s="256"/>
    </row>
    <row r="56" spans="1:23" s="41" customFormat="1" ht="69" customHeight="1" thickBot="1" x14ac:dyDescent="0.3">
      <c r="A56" s="343">
        <v>5</v>
      </c>
      <c r="B56" s="60"/>
      <c r="C56" s="60"/>
      <c r="D56" s="60"/>
      <c r="E56" s="63"/>
      <c r="F56" s="64"/>
      <c r="G56" s="170" t="s">
        <v>632</v>
      </c>
      <c r="H56" s="312" t="s">
        <v>634</v>
      </c>
      <c r="I56" s="234">
        <v>2030</v>
      </c>
      <c r="J56" s="164">
        <f>20*9</f>
        <v>180</v>
      </c>
      <c r="K56" s="235">
        <v>1</v>
      </c>
      <c r="L56" s="235"/>
      <c r="M56" s="236">
        <f>J56*K56/60</f>
        <v>3</v>
      </c>
      <c r="N56" s="236">
        <f>J56*L56/60</f>
        <v>0</v>
      </c>
      <c r="O56" s="313" t="s">
        <v>635</v>
      </c>
      <c r="P56" s="315" t="s">
        <v>636</v>
      </c>
      <c r="Q56" s="310"/>
      <c r="R56" s="165"/>
      <c r="S56" s="166"/>
      <c r="T56" s="313" t="s">
        <v>623</v>
      </c>
      <c r="U56" s="237" t="s">
        <v>436</v>
      </c>
      <c r="V56" s="255">
        <f>Futterlauberlöse!A33*(1+3%)^5</f>
        <v>7.4981847125723986</v>
      </c>
    </row>
    <row r="57" spans="1:23" s="94" customFormat="1" ht="36" customHeight="1" thickBot="1" x14ac:dyDescent="0.3">
      <c r="A57" s="122">
        <v>5</v>
      </c>
      <c r="B57" s="138">
        <f>(SUM(M54:M56)*D8)*(1+2%)^5</f>
        <v>169.21878443712001</v>
      </c>
      <c r="C57" s="138">
        <f>(SUM(N54:N56)*D9)*(1+2%)^5</f>
        <v>0</v>
      </c>
      <c r="D57" s="123">
        <f>SUM(S54:S56)</f>
        <v>0</v>
      </c>
      <c r="E57" s="139">
        <f>SUM(B57:D57)</f>
        <v>169.21878443712001</v>
      </c>
      <c r="F57" s="126">
        <f>SUM(V54:V56)</f>
        <v>7.4981847125723986</v>
      </c>
      <c r="G57" s="108"/>
      <c r="H57" s="83"/>
      <c r="I57" s="84"/>
      <c r="J57" s="85"/>
      <c r="K57" s="131"/>
      <c r="L57" s="87"/>
      <c r="M57" s="131"/>
      <c r="N57" s="87"/>
      <c r="O57" s="88"/>
      <c r="P57" s="89"/>
      <c r="Q57" s="90"/>
      <c r="R57" s="86"/>
      <c r="S57" s="91"/>
      <c r="T57" s="92"/>
      <c r="U57" s="93"/>
      <c r="V57" s="255"/>
    </row>
    <row r="58" spans="1:23" s="41" customFormat="1" ht="54" customHeight="1" x14ac:dyDescent="0.25">
      <c r="A58" s="343">
        <v>6</v>
      </c>
      <c r="B58" s="60"/>
      <c r="C58" s="60"/>
      <c r="D58" s="60"/>
      <c r="E58" s="63"/>
      <c r="F58" s="64"/>
      <c r="G58" s="162" t="s">
        <v>487</v>
      </c>
      <c r="H58" s="78" t="s">
        <v>495</v>
      </c>
      <c r="I58" s="194">
        <v>2031</v>
      </c>
      <c r="J58" s="146">
        <v>30</v>
      </c>
      <c r="K58" s="195">
        <v>1</v>
      </c>
      <c r="L58" s="153"/>
      <c r="M58" s="196">
        <f>J58*K58/60</f>
        <v>0.5</v>
      </c>
      <c r="N58" s="196">
        <f>J58*L58/60</f>
        <v>0</v>
      </c>
      <c r="O58" s="233"/>
      <c r="P58" s="197"/>
      <c r="Q58" s="198"/>
      <c r="R58" s="153"/>
      <c r="S58" s="199"/>
      <c r="T58" s="156" t="s">
        <v>496</v>
      </c>
      <c r="U58" s="197" t="s">
        <v>436</v>
      </c>
      <c r="V58" s="256"/>
    </row>
    <row r="59" spans="1:23" s="41" customFormat="1" ht="69" customHeight="1" x14ac:dyDescent="0.25">
      <c r="A59" s="343">
        <v>6</v>
      </c>
      <c r="B59" s="60"/>
      <c r="C59" s="60"/>
      <c r="D59" s="60"/>
      <c r="E59" s="63"/>
      <c r="F59" s="64"/>
      <c r="G59" s="162" t="s">
        <v>491</v>
      </c>
      <c r="H59" s="78" t="s">
        <v>492</v>
      </c>
      <c r="I59" s="194">
        <v>2031</v>
      </c>
      <c r="J59" s="146">
        <f>104*2</f>
        <v>208</v>
      </c>
      <c r="K59" s="153">
        <v>1</v>
      </c>
      <c r="L59" s="153"/>
      <c r="M59" s="196">
        <f>J59*K59/60</f>
        <v>3.4666666666666668</v>
      </c>
      <c r="N59" s="196">
        <f>J59*L59/60</f>
        <v>0</v>
      </c>
      <c r="O59" s="155" t="s">
        <v>624</v>
      </c>
      <c r="P59" s="197"/>
      <c r="Q59" s="198" t="s">
        <v>424</v>
      </c>
      <c r="R59" s="153"/>
      <c r="S59" s="199"/>
      <c r="T59" s="156"/>
      <c r="U59" s="197" t="s">
        <v>436</v>
      </c>
      <c r="V59" s="256"/>
    </row>
    <row r="60" spans="1:23" s="41" customFormat="1" ht="69" customHeight="1" thickBot="1" x14ac:dyDescent="0.3">
      <c r="A60" s="343">
        <v>6</v>
      </c>
      <c r="B60" s="60"/>
      <c r="C60" s="60"/>
      <c r="D60" s="60"/>
      <c r="E60" s="63"/>
      <c r="F60" s="64"/>
      <c r="G60" s="170" t="s">
        <v>632</v>
      </c>
      <c r="H60" s="312" t="s">
        <v>634</v>
      </c>
      <c r="I60" s="234">
        <v>2031</v>
      </c>
      <c r="J60" s="164">
        <f>20*9</f>
        <v>180</v>
      </c>
      <c r="K60" s="235">
        <v>1</v>
      </c>
      <c r="L60" s="235"/>
      <c r="M60" s="236">
        <f>J60*K60/60</f>
        <v>3</v>
      </c>
      <c r="N60" s="236">
        <f>J60*L60/60</f>
        <v>0</v>
      </c>
      <c r="O60" s="313" t="s">
        <v>635</v>
      </c>
      <c r="P60" s="315" t="s">
        <v>636</v>
      </c>
      <c r="Q60" s="310"/>
      <c r="R60" s="165"/>
      <c r="S60" s="166"/>
      <c r="T60" s="313" t="s">
        <v>623</v>
      </c>
      <c r="U60" s="237" t="s">
        <v>436</v>
      </c>
      <c r="V60" s="255">
        <f>Futterlauberlöse!A33*(1+3%)^6</f>
        <v>7.723130253949571</v>
      </c>
    </row>
    <row r="61" spans="1:23" s="94" customFormat="1" ht="36" customHeight="1" thickBot="1" x14ac:dyDescent="0.3">
      <c r="A61" s="122">
        <v>6</v>
      </c>
      <c r="B61" s="138">
        <f>(SUM(M58:M60)*D8)*(1+2%)^6</f>
        <v>172.60316012586242</v>
      </c>
      <c r="C61" s="138">
        <f>(SUM(N58:N60)*D9)*(1+2%)^6</f>
        <v>0</v>
      </c>
      <c r="D61" s="123">
        <f>SUM(S58:S60)</f>
        <v>0</v>
      </c>
      <c r="E61" s="139">
        <f>SUM(B61:D61)</f>
        <v>172.60316012586242</v>
      </c>
      <c r="F61" s="126">
        <f>SUM(V58:V60)</f>
        <v>7.723130253949571</v>
      </c>
      <c r="G61" s="108"/>
      <c r="H61" s="83"/>
      <c r="I61" s="84"/>
      <c r="J61" s="85"/>
      <c r="K61" s="131"/>
      <c r="L61" s="87"/>
      <c r="M61" s="131"/>
      <c r="N61" s="87"/>
      <c r="O61" s="88"/>
      <c r="P61" s="89"/>
      <c r="Q61" s="90"/>
      <c r="R61" s="86"/>
      <c r="S61" s="91"/>
      <c r="T61" s="92"/>
      <c r="U61" s="93"/>
      <c r="V61" s="255"/>
    </row>
    <row r="62" spans="1:23" s="41" customFormat="1" ht="54" customHeight="1" x14ac:dyDescent="0.25">
      <c r="A62" s="343">
        <v>7</v>
      </c>
      <c r="B62" s="60"/>
      <c r="C62" s="60"/>
      <c r="D62" s="60"/>
      <c r="E62" s="63"/>
      <c r="F62" s="64"/>
      <c r="G62" s="162" t="s">
        <v>487</v>
      </c>
      <c r="H62" s="78" t="s">
        <v>587</v>
      </c>
      <c r="I62" s="194">
        <v>2032</v>
      </c>
      <c r="J62" s="146">
        <v>15</v>
      </c>
      <c r="K62" s="195">
        <v>1</v>
      </c>
      <c r="L62" s="153"/>
      <c r="M62" s="196">
        <f>J62*K62/60</f>
        <v>0.25</v>
      </c>
      <c r="N62" s="196">
        <f>J62*L62/60</f>
        <v>0</v>
      </c>
      <c r="O62" s="233"/>
      <c r="P62" s="197"/>
      <c r="Q62" s="198"/>
      <c r="R62" s="153"/>
      <c r="S62" s="199"/>
      <c r="T62" s="156" t="s">
        <v>496</v>
      </c>
      <c r="U62" s="197" t="s">
        <v>436</v>
      </c>
      <c r="V62" s="256"/>
    </row>
    <row r="63" spans="1:23" s="41" customFormat="1" ht="68.25" customHeight="1" x14ac:dyDescent="0.25">
      <c r="A63" s="343">
        <v>7</v>
      </c>
      <c r="B63" s="60"/>
      <c r="C63" s="60"/>
      <c r="D63" s="60"/>
      <c r="E63" s="63"/>
      <c r="F63" s="64"/>
      <c r="G63" s="162" t="s">
        <v>491</v>
      </c>
      <c r="H63" s="78" t="s">
        <v>490</v>
      </c>
      <c r="I63" s="194">
        <v>2032</v>
      </c>
      <c r="J63" s="146">
        <f>104*2</f>
        <v>208</v>
      </c>
      <c r="K63" s="153">
        <v>1</v>
      </c>
      <c r="L63" s="153"/>
      <c r="M63" s="196">
        <f>J63*K63/60</f>
        <v>3.4666666666666668</v>
      </c>
      <c r="N63" s="196">
        <f>J63*L63/60</f>
        <v>0</v>
      </c>
      <c r="O63" s="155" t="s">
        <v>624</v>
      </c>
      <c r="P63" s="197"/>
      <c r="Q63" s="198" t="s">
        <v>493</v>
      </c>
      <c r="R63" s="153"/>
      <c r="S63" s="199"/>
      <c r="T63" s="156"/>
      <c r="U63" s="197" t="s">
        <v>436</v>
      </c>
      <c r="V63" s="256"/>
    </row>
    <row r="64" spans="1:23" s="41" customFormat="1" ht="69" customHeight="1" thickBot="1" x14ac:dyDescent="0.3">
      <c r="A64" s="343">
        <v>7</v>
      </c>
      <c r="B64" s="60"/>
      <c r="C64" s="60"/>
      <c r="D64" s="60"/>
      <c r="E64" s="63"/>
      <c r="F64" s="64"/>
      <c r="G64" s="170" t="s">
        <v>632</v>
      </c>
      <c r="H64" s="312" t="s">
        <v>634</v>
      </c>
      <c r="I64" s="234">
        <v>2032</v>
      </c>
      <c r="J64" s="164">
        <f>20*9</f>
        <v>180</v>
      </c>
      <c r="K64" s="235">
        <v>1</v>
      </c>
      <c r="L64" s="235"/>
      <c r="M64" s="236">
        <f>J64*K64/60</f>
        <v>3</v>
      </c>
      <c r="N64" s="236">
        <f>J64*L64/60</f>
        <v>0</v>
      </c>
      <c r="O64" s="313" t="s">
        <v>635</v>
      </c>
      <c r="P64" s="315" t="s">
        <v>636</v>
      </c>
      <c r="Q64" s="167"/>
      <c r="R64" s="165"/>
      <c r="S64" s="166"/>
      <c r="T64" s="313" t="s">
        <v>623</v>
      </c>
      <c r="U64" s="237" t="s">
        <v>436</v>
      </c>
      <c r="V64" s="255">
        <f>Futterlauberlöse!A32*(1+3%)^7</f>
        <v>11.364034516525798</v>
      </c>
    </row>
    <row r="65" spans="1:22" s="94" customFormat="1" ht="36" customHeight="1" thickBot="1" x14ac:dyDescent="0.3">
      <c r="A65" s="122">
        <v>7</v>
      </c>
      <c r="B65" s="138">
        <f>(SUM(M62:M64)*D8)*(1+2%)^7</f>
        <v>169.73745215630859</v>
      </c>
      <c r="C65" s="138">
        <f>(SUM(N62:N64)*D9)*(1+2%)^7</f>
        <v>0</v>
      </c>
      <c r="D65" s="123">
        <f>SUM(S62:S64)</f>
        <v>0</v>
      </c>
      <c r="E65" s="139">
        <f>SUM(B65:D65)</f>
        <v>169.73745215630859</v>
      </c>
      <c r="F65" s="126">
        <f>SUM(V62:V64)</f>
        <v>11.364034516525798</v>
      </c>
      <c r="G65" s="108"/>
      <c r="H65" s="83"/>
      <c r="I65" s="84"/>
      <c r="J65" s="85"/>
      <c r="K65" s="131"/>
      <c r="L65" s="87"/>
      <c r="M65" s="131"/>
      <c r="N65" s="87"/>
      <c r="O65" s="88"/>
      <c r="P65" s="89"/>
      <c r="Q65" s="90"/>
      <c r="R65" s="86"/>
      <c r="S65" s="91"/>
      <c r="T65" s="92"/>
      <c r="U65" s="93"/>
      <c r="V65" s="255"/>
    </row>
    <row r="66" spans="1:22" s="41" customFormat="1" ht="54" customHeight="1" x14ac:dyDescent="0.25">
      <c r="A66" s="343">
        <v>8</v>
      </c>
      <c r="B66" s="60"/>
      <c r="C66" s="60"/>
      <c r="D66" s="60"/>
      <c r="E66" s="63"/>
      <c r="F66" s="64"/>
      <c r="G66" s="162" t="s">
        <v>487</v>
      </c>
      <c r="H66" s="78" t="s">
        <v>498</v>
      </c>
      <c r="I66" s="194">
        <v>2033</v>
      </c>
      <c r="J66" s="146">
        <v>15</v>
      </c>
      <c r="K66" s="195">
        <v>1</v>
      </c>
      <c r="L66" s="153"/>
      <c r="M66" s="196">
        <f>J66*K66/60</f>
        <v>0.25</v>
      </c>
      <c r="N66" s="196">
        <f>J66*L66/60</f>
        <v>0</v>
      </c>
      <c r="O66" s="233"/>
      <c r="P66" s="197"/>
      <c r="Q66" s="198"/>
      <c r="R66" s="153"/>
      <c r="S66" s="199"/>
      <c r="T66" s="156"/>
      <c r="U66" s="197" t="s">
        <v>436</v>
      </c>
      <c r="V66" s="256"/>
    </row>
    <row r="67" spans="1:22" s="41" customFormat="1" ht="67.5" customHeight="1" x14ac:dyDescent="0.25">
      <c r="A67" s="343">
        <v>8</v>
      </c>
      <c r="B67" s="60"/>
      <c r="C67" s="60"/>
      <c r="D67" s="60"/>
      <c r="E67" s="63"/>
      <c r="F67" s="64"/>
      <c r="G67" s="162" t="s">
        <v>491</v>
      </c>
      <c r="H67" s="78" t="s">
        <v>497</v>
      </c>
      <c r="I67" s="194">
        <v>2033</v>
      </c>
      <c r="J67" s="146">
        <f>104*2</f>
        <v>208</v>
      </c>
      <c r="K67" s="153">
        <v>1</v>
      </c>
      <c r="L67" s="153"/>
      <c r="M67" s="196">
        <f>J67*K67/60</f>
        <v>3.4666666666666668</v>
      </c>
      <c r="N67" s="196">
        <f>J67*L67/60</f>
        <v>0</v>
      </c>
      <c r="O67" s="155" t="s">
        <v>624</v>
      </c>
      <c r="P67" s="197"/>
      <c r="Q67" s="198" t="s">
        <v>493</v>
      </c>
      <c r="R67" s="153"/>
      <c r="S67" s="199"/>
      <c r="T67" s="156"/>
      <c r="U67" s="197" t="s">
        <v>436</v>
      </c>
      <c r="V67" s="256"/>
    </row>
    <row r="68" spans="1:22" s="41" customFormat="1" ht="69" customHeight="1" thickBot="1" x14ac:dyDescent="0.3">
      <c r="A68" s="343">
        <v>8</v>
      </c>
      <c r="B68" s="60"/>
      <c r="C68" s="60"/>
      <c r="D68" s="60"/>
      <c r="E68" s="63"/>
      <c r="F68" s="64"/>
      <c r="G68" s="170" t="s">
        <v>632</v>
      </c>
      <c r="H68" s="312" t="s">
        <v>634</v>
      </c>
      <c r="I68" s="234">
        <v>2033</v>
      </c>
      <c r="J68" s="164">
        <f>20*9</f>
        <v>180</v>
      </c>
      <c r="K68" s="235">
        <v>1</v>
      </c>
      <c r="L68" s="235"/>
      <c r="M68" s="236">
        <f>J68*K68/60</f>
        <v>3</v>
      </c>
      <c r="N68" s="236">
        <f>J68*L68/60</f>
        <v>0</v>
      </c>
      <c r="O68" s="313" t="s">
        <v>635</v>
      </c>
      <c r="P68" s="315" t="s">
        <v>636</v>
      </c>
      <c r="Q68" s="168"/>
      <c r="R68" s="165"/>
      <c r="S68" s="166"/>
      <c r="T68" s="313" t="s">
        <v>623</v>
      </c>
      <c r="U68" s="237" t="s">
        <v>436</v>
      </c>
      <c r="V68" s="255">
        <f>Futterlauberlöse!A32*(1+3%)^8</f>
        <v>11.704955552021572</v>
      </c>
    </row>
    <row r="69" spans="1:22" s="94" customFormat="1" ht="36" customHeight="1" thickBot="1" x14ac:dyDescent="0.3">
      <c r="A69" s="122">
        <v>8</v>
      </c>
      <c r="B69" s="138">
        <f>(SUM(M66:M68)*D8)*(1+2%)^8</f>
        <v>173.13220119943477</v>
      </c>
      <c r="C69" s="138">
        <f>(SUM(N66:N68)*D9)*(1+2%)^8</f>
        <v>0</v>
      </c>
      <c r="D69" s="123">
        <f>SUM(S66:S68)</f>
        <v>0</v>
      </c>
      <c r="E69" s="139">
        <f>SUM(B69:D69)</f>
        <v>173.13220119943477</v>
      </c>
      <c r="F69" s="126">
        <f>SUM(V66:V68)</f>
        <v>11.704955552021572</v>
      </c>
      <c r="G69" s="108"/>
      <c r="H69" s="83"/>
      <c r="I69" s="84"/>
      <c r="J69" s="85"/>
      <c r="K69" s="131"/>
      <c r="L69" s="87"/>
      <c r="M69" s="131"/>
      <c r="N69" s="87"/>
      <c r="O69" s="88"/>
      <c r="P69" s="89"/>
      <c r="Q69" s="90"/>
      <c r="R69" s="86"/>
      <c r="S69" s="91"/>
      <c r="T69" s="92"/>
      <c r="U69" s="93"/>
      <c r="V69" s="255"/>
    </row>
    <row r="70" spans="1:22" s="41" customFormat="1" ht="54" customHeight="1" x14ac:dyDescent="0.25">
      <c r="A70" s="343">
        <v>9</v>
      </c>
      <c r="B70" s="60"/>
      <c r="C70" s="60"/>
      <c r="D70" s="60"/>
      <c r="E70" s="63"/>
      <c r="F70" s="64"/>
      <c r="G70" s="162" t="s">
        <v>487</v>
      </c>
      <c r="H70" s="78" t="s">
        <v>498</v>
      </c>
      <c r="I70" s="194">
        <v>2034</v>
      </c>
      <c r="J70" s="146">
        <v>15</v>
      </c>
      <c r="K70" s="195">
        <v>1</v>
      </c>
      <c r="L70" s="153"/>
      <c r="M70" s="196">
        <f>J70*K70/60</f>
        <v>0.25</v>
      </c>
      <c r="N70" s="196">
        <f>J70*L70/60</f>
        <v>0</v>
      </c>
      <c r="O70" s="233"/>
      <c r="P70" s="197"/>
      <c r="Q70" s="198"/>
      <c r="R70" s="153"/>
      <c r="S70" s="199"/>
      <c r="T70" s="156"/>
      <c r="U70" s="197" t="s">
        <v>436</v>
      </c>
      <c r="V70" s="256"/>
    </row>
    <row r="71" spans="1:22" s="41" customFormat="1" ht="71.25" customHeight="1" x14ac:dyDescent="0.25">
      <c r="A71" s="343">
        <v>9</v>
      </c>
      <c r="B71" s="60"/>
      <c r="C71" s="60"/>
      <c r="D71" s="60"/>
      <c r="E71" s="63"/>
      <c r="F71" s="64"/>
      <c r="G71" s="162" t="s">
        <v>491</v>
      </c>
      <c r="H71" s="78" t="s">
        <v>499</v>
      </c>
      <c r="I71" s="194">
        <v>2034</v>
      </c>
      <c r="J71" s="146">
        <f>104*3</f>
        <v>312</v>
      </c>
      <c r="K71" s="153">
        <v>1</v>
      </c>
      <c r="L71" s="153"/>
      <c r="M71" s="196">
        <f>J71*K71/60</f>
        <v>5.2</v>
      </c>
      <c r="N71" s="196">
        <f>J71*L71/60</f>
        <v>0</v>
      </c>
      <c r="O71" s="155" t="s">
        <v>626</v>
      </c>
      <c r="P71" s="197"/>
      <c r="Q71" s="198" t="s">
        <v>500</v>
      </c>
      <c r="R71" s="153"/>
      <c r="S71" s="199"/>
      <c r="T71" s="156" t="s">
        <v>501</v>
      </c>
      <c r="U71" s="163" t="s">
        <v>502</v>
      </c>
      <c r="V71" s="257"/>
    </row>
    <row r="72" spans="1:22" s="41" customFormat="1" ht="69" customHeight="1" thickBot="1" x14ac:dyDescent="0.3">
      <c r="A72" s="343">
        <v>9</v>
      </c>
      <c r="B72" s="60"/>
      <c r="C72" s="60"/>
      <c r="D72" s="60"/>
      <c r="E72" s="63"/>
      <c r="F72" s="64"/>
      <c r="G72" s="170" t="s">
        <v>632</v>
      </c>
      <c r="H72" s="312" t="s">
        <v>634</v>
      </c>
      <c r="I72" s="234">
        <v>2034</v>
      </c>
      <c r="J72" s="164">
        <f>20*9</f>
        <v>180</v>
      </c>
      <c r="K72" s="235">
        <v>1</v>
      </c>
      <c r="L72" s="235"/>
      <c r="M72" s="236">
        <f>J72*K72/60</f>
        <v>3</v>
      </c>
      <c r="N72" s="236">
        <f>J72*L72/60</f>
        <v>0</v>
      </c>
      <c r="O72" s="313" t="s">
        <v>635</v>
      </c>
      <c r="P72" s="315" t="s">
        <v>636</v>
      </c>
      <c r="Q72" s="168"/>
      <c r="R72" s="165"/>
      <c r="S72" s="166"/>
      <c r="T72" s="313" t="s">
        <v>623</v>
      </c>
      <c r="U72" s="237" t="s">
        <v>436</v>
      </c>
      <c r="V72" s="255">
        <f>Futterlauberlöse!A32*(1+3%)^9</f>
        <v>12.056104218582218</v>
      </c>
    </row>
    <row r="73" spans="1:22" s="94" customFormat="1" ht="36" customHeight="1" thickBot="1" x14ac:dyDescent="0.3">
      <c r="A73" s="122">
        <v>9</v>
      </c>
      <c r="B73" s="138">
        <f>(SUM(M70:M72)*D8)*(1+2%)^9</f>
        <v>222.16770850688755</v>
      </c>
      <c r="C73" s="138">
        <f>(SUM(N70:N72)*D9)*(1+2%)^9</f>
        <v>0</v>
      </c>
      <c r="D73" s="123">
        <f>SUM(S70:S72)</f>
        <v>0</v>
      </c>
      <c r="E73" s="139">
        <f>SUM(B73:D73)</f>
        <v>222.16770850688755</v>
      </c>
      <c r="F73" s="126">
        <f>SUM(V70:V72)</f>
        <v>12.056104218582218</v>
      </c>
      <c r="G73" s="108"/>
      <c r="H73" s="83"/>
      <c r="I73" s="84"/>
      <c r="J73" s="85"/>
      <c r="K73" s="131"/>
      <c r="L73" s="87"/>
      <c r="M73" s="131"/>
      <c r="N73" s="87"/>
      <c r="O73" s="88"/>
      <c r="P73" s="89"/>
      <c r="Q73" s="90"/>
      <c r="R73" s="86"/>
      <c r="S73" s="91"/>
      <c r="T73" s="92"/>
      <c r="U73" s="232"/>
      <c r="V73" s="255"/>
    </row>
    <row r="74" spans="1:22" s="41" customFormat="1" ht="54" customHeight="1" x14ac:dyDescent="0.25">
      <c r="A74" s="343">
        <v>10</v>
      </c>
      <c r="B74" s="60"/>
      <c r="C74" s="60"/>
      <c r="D74" s="60"/>
      <c r="E74" s="63"/>
      <c r="F74" s="64"/>
      <c r="G74" s="162" t="s">
        <v>487</v>
      </c>
      <c r="H74" s="78" t="s">
        <v>498</v>
      </c>
      <c r="I74" s="194">
        <v>2035</v>
      </c>
      <c r="J74" s="146">
        <v>15</v>
      </c>
      <c r="K74" s="195">
        <v>1</v>
      </c>
      <c r="L74" s="153"/>
      <c r="M74" s="196">
        <f>J74*K74/60</f>
        <v>0.25</v>
      </c>
      <c r="N74" s="196">
        <f>J74*L74/60</f>
        <v>0</v>
      </c>
      <c r="O74" s="233"/>
      <c r="P74" s="197"/>
      <c r="Q74" s="198"/>
      <c r="R74" s="153"/>
      <c r="S74" s="199"/>
      <c r="T74" s="156"/>
      <c r="U74" s="197" t="s">
        <v>436</v>
      </c>
      <c r="V74" s="256"/>
    </row>
    <row r="75" spans="1:22" s="41" customFormat="1" ht="66" customHeight="1" x14ac:dyDescent="0.25">
      <c r="A75" s="343">
        <v>10</v>
      </c>
      <c r="B75" s="60"/>
      <c r="C75" s="60"/>
      <c r="D75" s="60"/>
      <c r="E75" s="63"/>
      <c r="F75" s="64"/>
      <c r="G75" s="162" t="s">
        <v>491</v>
      </c>
      <c r="H75" s="78" t="s">
        <v>499</v>
      </c>
      <c r="I75" s="194">
        <v>2035</v>
      </c>
      <c r="J75" s="146">
        <f>104*3</f>
        <v>312</v>
      </c>
      <c r="K75" s="153">
        <v>1</v>
      </c>
      <c r="L75" s="153"/>
      <c r="M75" s="196">
        <f>J75*K75/60</f>
        <v>5.2</v>
      </c>
      <c r="N75" s="196">
        <f>J75*L75/60</f>
        <v>0</v>
      </c>
      <c r="O75" s="155" t="s">
        <v>626</v>
      </c>
      <c r="P75" s="197"/>
      <c r="Q75" s="198" t="s">
        <v>500</v>
      </c>
      <c r="R75" s="153"/>
      <c r="S75" s="199"/>
      <c r="T75" s="156" t="s">
        <v>501</v>
      </c>
      <c r="U75" s="163" t="s">
        <v>502</v>
      </c>
      <c r="V75" s="257"/>
    </row>
    <row r="76" spans="1:22" s="41" customFormat="1" ht="69" customHeight="1" thickBot="1" x14ac:dyDescent="0.3">
      <c r="A76" s="343">
        <v>10</v>
      </c>
      <c r="B76" s="60"/>
      <c r="C76" s="60"/>
      <c r="D76" s="60"/>
      <c r="E76" s="63"/>
      <c r="F76" s="64"/>
      <c r="G76" s="170" t="s">
        <v>632</v>
      </c>
      <c r="H76" s="312" t="s">
        <v>634</v>
      </c>
      <c r="I76" s="234">
        <v>2035</v>
      </c>
      <c r="J76" s="164">
        <f>20*9</f>
        <v>180</v>
      </c>
      <c r="K76" s="235">
        <v>1</v>
      </c>
      <c r="L76" s="235"/>
      <c r="M76" s="236">
        <f>J76*K76/60</f>
        <v>3</v>
      </c>
      <c r="N76" s="236">
        <f>J76*L76/60</f>
        <v>0</v>
      </c>
      <c r="O76" s="313" t="s">
        <v>635</v>
      </c>
      <c r="P76" s="315" t="s">
        <v>636</v>
      </c>
      <c r="Q76" s="168"/>
      <c r="R76" s="165"/>
      <c r="S76" s="166"/>
      <c r="T76" s="313" t="s">
        <v>623</v>
      </c>
      <c r="U76" s="237" t="s">
        <v>436</v>
      </c>
      <c r="V76" s="255">
        <f>Futterlauberlöse!A32*(1+3%)^10</f>
        <v>12.417787345139686</v>
      </c>
    </row>
    <row r="77" spans="1:22" s="94" customFormat="1" ht="36" customHeight="1" thickBot="1" x14ac:dyDescent="0.3">
      <c r="A77" s="122">
        <v>10</v>
      </c>
      <c r="B77" s="138">
        <f>(SUM(M74:M76)*D8)*(1+2%)^10</f>
        <v>226.61106267702533</v>
      </c>
      <c r="C77" s="138">
        <f>(SUM(N74:N76)*D9)*(1+2%)^10</f>
        <v>0</v>
      </c>
      <c r="D77" s="123">
        <f>SUM(S74:S76)</f>
        <v>0</v>
      </c>
      <c r="E77" s="139">
        <f>SUM(B77:D77)</f>
        <v>226.61106267702533</v>
      </c>
      <c r="F77" s="126">
        <f>SUM(V74:V76)</f>
        <v>12.417787345139686</v>
      </c>
      <c r="G77" s="108"/>
      <c r="H77" s="83"/>
      <c r="I77" s="84"/>
      <c r="J77" s="85"/>
      <c r="K77" s="131"/>
      <c r="L77" s="87"/>
      <c r="M77" s="131"/>
      <c r="N77" s="87"/>
      <c r="O77" s="88"/>
      <c r="P77" s="89"/>
      <c r="Q77" s="90"/>
      <c r="R77" s="86"/>
      <c r="S77" s="91"/>
      <c r="T77" s="92"/>
      <c r="U77" s="93"/>
      <c r="V77" s="255"/>
    </row>
    <row r="78" spans="1:22" s="41" customFormat="1" ht="54" customHeight="1" x14ac:dyDescent="0.25">
      <c r="A78" s="343">
        <v>11</v>
      </c>
      <c r="B78" s="60"/>
      <c r="C78" s="60"/>
      <c r="D78" s="60"/>
      <c r="E78" s="63"/>
      <c r="F78" s="64"/>
      <c r="G78" s="162" t="s">
        <v>487</v>
      </c>
      <c r="H78" s="78" t="s">
        <v>498</v>
      </c>
      <c r="I78" s="194">
        <v>2036</v>
      </c>
      <c r="J78" s="146">
        <v>15</v>
      </c>
      <c r="K78" s="195">
        <v>1</v>
      </c>
      <c r="L78" s="153"/>
      <c r="M78" s="196">
        <f>J78*K78/60</f>
        <v>0.25</v>
      </c>
      <c r="N78" s="196">
        <f>J78*L78/60</f>
        <v>0</v>
      </c>
      <c r="O78" s="233"/>
      <c r="P78" s="197"/>
      <c r="Q78" s="198"/>
      <c r="R78" s="153"/>
      <c r="S78" s="199"/>
      <c r="T78" s="156"/>
      <c r="U78" s="197" t="s">
        <v>436</v>
      </c>
      <c r="V78" s="256"/>
    </row>
    <row r="79" spans="1:22" s="41" customFormat="1" ht="71.25" customHeight="1" x14ac:dyDescent="0.25">
      <c r="A79" s="343">
        <v>11</v>
      </c>
      <c r="B79" s="60"/>
      <c r="C79" s="60"/>
      <c r="D79" s="60"/>
      <c r="E79" s="63"/>
      <c r="F79" s="64"/>
      <c r="G79" s="162" t="s">
        <v>491</v>
      </c>
      <c r="H79" s="78" t="s">
        <v>499</v>
      </c>
      <c r="I79" s="194">
        <v>2036</v>
      </c>
      <c r="J79" s="146">
        <f>104*4</f>
        <v>416</v>
      </c>
      <c r="K79" s="153">
        <v>1</v>
      </c>
      <c r="L79" s="153"/>
      <c r="M79" s="196">
        <f>J79*K79/60</f>
        <v>6.9333333333333336</v>
      </c>
      <c r="N79" s="196">
        <f>J79*L79/60</f>
        <v>0</v>
      </c>
      <c r="O79" s="155" t="s">
        <v>627</v>
      </c>
      <c r="P79" s="197"/>
      <c r="Q79" s="198" t="s">
        <v>500</v>
      </c>
      <c r="R79" s="153"/>
      <c r="S79" s="199"/>
      <c r="T79" s="156" t="s">
        <v>588</v>
      </c>
      <c r="U79" s="163" t="s">
        <v>502</v>
      </c>
      <c r="V79" s="257"/>
    </row>
    <row r="80" spans="1:22" s="41" customFormat="1" ht="69" customHeight="1" thickBot="1" x14ac:dyDescent="0.3">
      <c r="A80" s="343">
        <v>11</v>
      </c>
      <c r="B80" s="60"/>
      <c r="C80" s="60"/>
      <c r="D80" s="60"/>
      <c r="E80" s="63"/>
      <c r="F80" s="64"/>
      <c r="G80" s="170" t="s">
        <v>632</v>
      </c>
      <c r="H80" s="312" t="s">
        <v>634</v>
      </c>
      <c r="I80" s="234">
        <v>2036</v>
      </c>
      <c r="J80" s="164">
        <f>20*9</f>
        <v>180</v>
      </c>
      <c r="K80" s="235">
        <v>1</v>
      </c>
      <c r="L80" s="235"/>
      <c r="M80" s="236">
        <f>J80*K80/60</f>
        <v>3</v>
      </c>
      <c r="N80" s="236">
        <f>J80*L80/60</f>
        <v>0</v>
      </c>
      <c r="O80" s="313" t="s">
        <v>635</v>
      </c>
      <c r="P80" s="315" t="s">
        <v>636</v>
      </c>
      <c r="Q80" s="168"/>
      <c r="R80" s="165"/>
      <c r="S80" s="166"/>
      <c r="T80" s="313" t="s">
        <v>623</v>
      </c>
      <c r="U80" s="237" t="s">
        <v>436</v>
      </c>
      <c r="V80" s="255">
        <f>Futterlauberlöse!A32*(1+3%)^11</f>
        <v>12.790320965493876</v>
      </c>
    </row>
    <row r="81" spans="1:22" s="94" customFormat="1" ht="36" customHeight="1" thickBot="1" x14ac:dyDescent="0.3">
      <c r="A81" s="122">
        <v>11</v>
      </c>
      <c r="B81" s="138">
        <f>(SUM(M78:M80)*D8)*(1+2%)^11</f>
        <v>278.55729089068188</v>
      </c>
      <c r="C81" s="138">
        <f>(SUM(N78:N80)*D9)*(1+2%)^11</f>
        <v>0</v>
      </c>
      <c r="D81" s="123">
        <f>SUM(S78:S80)</f>
        <v>0</v>
      </c>
      <c r="E81" s="139">
        <f>SUM(B81:D81)</f>
        <v>278.55729089068188</v>
      </c>
      <c r="F81" s="126">
        <f>SUM(V78:V80)</f>
        <v>12.790320965493876</v>
      </c>
      <c r="G81" s="238"/>
      <c r="H81" s="83"/>
      <c r="I81" s="84"/>
      <c r="J81" s="85"/>
      <c r="K81" s="131"/>
      <c r="L81" s="87"/>
      <c r="M81" s="131"/>
      <c r="N81" s="87"/>
      <c r="O81" s="88"/>
      <c r="P81" s="89"/>
      <c r="Q81" s="90"/>
      <c r="R81" s="86"/>
      <c r="S81" s="91"/>
      <c r="T81" s="92"/>
      <c r="U81" s="232"/>
      <c r="V81" s="255"/>
    </row>
    <row r="82" spans="1:22" s="41" customFormat="1" ht="54" customHeight="1" x14ac:dyDescent="0.25">
      <c r="A82" s="343">
        <v>12</v>
      </c>
      <c r="B82" s="60"/>
      <c r="C82" s="60"/>
      <c r="D82" s="60"/>
      <c r="E82" s="63"/>
      <c r="F82" s="64"/>
      <c r="G82" s="162" t="s">
        <v>487</v>
      </c>
      <c r="H82" s="78" t="s">
        <v>498</v>
      </c>
      <c r="I82" s="194">
        <v>2037</v>
      </c>
      <c r="J82" s="146">
        <v>15</v>
      </c>
      <c r="K82" s="195">
        <v>1</v>
      </c>
      <c r="L82" s="153"/>
      <c r="M82" s="196">
        <f>J82*K82/60</f>
        <v>0.25</v>
      </c>
      <c r="N82" s="196">
        <f>J82*L82/60</f>
        <v>0</v>
      </c>
      <c r="O82" s="233"/>
      <c r="P82" s="197"/>
      <c r="Q82" s="198"/>
      <c r="R82" s="153"/>
      <c r="S82" s="199"/>
      <c r="T82" s="156"/>
      <c r="U82" s="197" t="s">
        <v>436</v>
      </c>
      <c r="V82" s="256"/>
    </row>
    <row r="83" spans="1:22" s="41" customFormat="1" ht="63.75" customHeight="1" x14ac:dyDescent="0.25">
      <c r="A83" s="343">
        <v>12</v>
      </c>
      <c r="B83" s="60"/>
      <c r="C83" s="60"/>
      <c r="D83" s="60"/>
      <c r="E83" s="63"/>
      <c r="F83" s="64"/>
      <c r="G83" s="162" t="s">
        <v>491</v>
      </c>
      <c r="H83" s="78" t="s">
        <v>499</v>
      </c>
      <c r="I83" s="194">
        <v>2037</v>
      </c>
      <c r="J83" s="146">
        <f>104*4</f>
        <v>416</v>
      </c>
      <c r="K83" s="153">
        <v>1</v>
      </c>
      <c r="L83" s="153"/>
      <c r="M83" s="196">
        <f>J83*K83/60</f>
        <v>6.9333333333333336</v>
      </c>
      <c r="N83" s="196">
        <f>J83*L83/60</f>
        <v>0</v>
      </c>
      <c r="O83" s="155" t="s">
        <v>627</v>
      </c>
      <c r="P83" s="197"/>
      <c r="Q83" s="198" t="s">
        <v>500</v>
      </c>
      <c r="R83" s="153"/>
      <c r="S83" s="199"/>
      <c r="T83" s="156" t="s">
        <v>501</v>
      </c>
      <c r="U83" s="163" t="s">
        <v>502</v>
      </c>
      <c r="V83" s="257"/>
    </row>
    <row r="84" spans="1:22" s="41" customFormat="1" ht="69" customHeight="1" thickBot="1" x14ac:dyDescent="0.3">
      <c r="A84" s="343">
        <v>12</v>
      </c>
      <c r="B84" s="60"/>
      <c r="C84" s="60"/>
      <c r="D84" s="60"/>
      <c r="E84" s="63"/>
      <c r="F84" s="64"/>
      <c r="G84" s="170" t="s">
        <v>632</v>
      </c>
      <c r="H84" s="312" t="s">
        <v>634</v>
      </c>
      <c r="I84" s="234">
        <v>2037</v>
      </c>
      <c r="J84" s="164">
        <f>20*9</f>
        <v>180</v>
      </c>
      <c r="K84" s="235">
        <v>1</v>
      </c>
      <c r="L84" s="235"/>
      <c r="M84" s="236">
        <f>J84*K84/60</f>
        <v>3</v>
      </c>
      <c r="N84" s="236">
        <f>J84*L84/60</f>
        <v>0</v>
      </c>
      <c r="O84" s="313" t="s">
        <v>635</v>
      </c>
      <c r="P84" s="315" t="s">
        <v>636</v>
      </c>
      <c r="Q84" s="168"/>
      <c r="R84" s="165"/>
      <c r="S84" s="166"/>
      <c r="T84" s="313" t="s">
        <v>623</v>
      </c>
      <c r="U84" s="237" t="s">
        <v>436</v>
      </c>
      <c r="V84" s="255">
        <f>Futterlauberlöse!A32*(1+3%)^12</f>
        <v>13.17403059445869</v>
      </c>
    </row>
    <row r="85" spans="1:22" s="94" customFormat="1" ht="36" customHeight="1" thickBot="1" x14ac:dyDescent="0.3">
      <c r="A85" s="122">
        <v>12</v>
      </c>
      <c r="B85" s="138">
        <f>(SUM(M82:M84)*D8)*(1+2%)^12</f>
        <v>284.12843670849554</v>
      </c>
      <c r="C85" s="138">
        <f>(SUM(N82:N84)*D9)*(1+2%)^12</f>
        <v>0</v>
      </c>
      <c r="D85" s="123">
        <f>SUM(S82:S84)</f>
        <v>0</v>
      </c>
      <c r="E85" s="139">
        <f>SUM(B85:D85)</f>
        <v>284.12843670849554</v>
      </c>
      <c r="F85" s="126">
        <f>SUM(V82:V84)</f>
        <v>13.17403059445869</v>
      </c>
      <c r="G85" s="108"/>
      <c r="H85" s="83"/>
      <c r="I85" s="84"/>
      <c r="J85" s="85"/>
      <c r="K85" s="131"/>
      <c r="L85" s="87"/>
      <c r="M85" s="131"/>
      <c r="N85" s="87"/>
      <c r="O85" s="88"/>
      <c r="P85" s="89"/>
      <c r="Q85" s="90"/>
      <c r="R85" s="86"/>
      <c r="S85" s="91"/>
      <c r="T85" s="92"/>
      <c r="U85" s="232"/>
      <c r="V85" s="255"/>
    </row>
    <row r="86" spans="1:22" s="41" customFormat="1" ht="54" customHeight="1" x14ac:dyDescent="0.25">
      <c r="A86" s="343">
        <v>13</v>
      </c>
      <c r="B86" s="60"/>
      <c r="C86" s="60"/>
      <c r="D86" s="60"/>
      <c r="E86" s="63"/>
      <c r="F86" s="64"/>
      <c r="G86" s="162" t="s">
        <v>487</v>
      </c>
      <c r="H86" s="78" t="s">
        <v>498</v>
      </c>
      <c r="I86" s="194">
        <v>2038</v>
      </c>
      <c r="J86" s="146">
        <v>15</v>
      </c>
      <c r="K86" s="195">
        <v>1</v>
      </c>
      <c r="L86" s="153"/>
      <c r="M86" s="196">
        <f>J86*K86/60</f>
        <v>0.25</v>
      </c>
      <c r="N86" s="196">
        <f>J86*L86/60</f>
        <v>0</v>
      </c>
      <c r="O86" s="233"/>
      <c r="P86" s="197"/>
      <c r="Q86" s="198"/>
      <c r="R86" s="153"/>
      <c r="S86" s="199"/>
      <c r="T86" s="156"/>
      <c r="U86" s="197" t="s">
        <v>436</v>
      </c>
      <c r="V86" s="256"/>
    </row>
    <row r="87" spans="1:22" s="41" customFormat="1" ht="67.5" customHeight="1" x14ac:dyDescent="0.25">
      <c r="A87" s="343">
        <v>13</v>
      </c>
      <c r="B87" s="60"/>
      <c r="C87" s="60"/>
      <c r="D87" s="60"/>
      <c r="E87" s="63"/>
      <c r="F87" s="64"/>
      <c r="G87" s="162" t="s">
        <v>491</v>
      </c>
      <c r="H87" s="78" t="s">
        <v>499</v>
      </c>
      <c r="I87" s="194">
        <v>2038</v>
      </c>
      <c r="J87" s="146">
        <f>104*5</f>
        <v>520</v>
      </c>
      <c r="K87" s="153">
        <v>1</v>
      </c>
      <c r="L87" s="153"/>
      <c r="M87" s="196">
        <f>J87*K87/60</f>
        <v>8.6666666666666661</v>
      </c>
      <c r="N87" s="196">
        <f>J87*L87/60</f>
        <v>0</v>
      </c>
      <c r="O87" s="155" t="s">
        <v>628</v>
      </c>
      <c r="P87" s="197"/>
      <c r="Q87" s="198" t="s">
        <v>500</v>
      </c>
      <c r="R87" s="153"/>
      <c r="S87" s="199"/>
      <c r="T87" s="156" t="s">
        <v>588</v>
      </c>
      <c r="U87" s="163" t="s">
        <v>502</v>
      </c>
      <c r="V87" s="257"/>
    </row>
    <row r="88" spans="1:22" s="41" customFormat="1" ht="69" customHeight="1" thickBot="1" x14ac:dyDescent="0.3">
      <c r="A88" s="343">
        <v>13</v>
      </c>
      <c r="B88" s="60"/>
      <c r="C88" s="60"/>
      <c r="D88" s="60"/>
      <c r="E88" s="63"/>
      <c r="F88" s="64"/>
      <c r="G88" s="170" t="s">
        <v>632</v>
      </c>
      <c r="H88" s="312" t="s">
        <v>634</v>
      </c>
      <c r="I88" s="234">
        <v>2038</v>
      </c>
      <c r="J88" s="164">
        <f>20*9</f>
        <v>180</v>
      </c>
      <c r="K88" s="235">
        <v>1</v>
      </c>
      <c r="L88" s="235"/>
      <c r="M88" s="236">
        <f>J88*K88/60</f>
        <v>3</v>
      </c>
      <c r="N88" s="236">
        <f>J88*L88/60</f>
        <v>0</v>
      </c>
      <c r="O88" s="313" t="s">
        <v>635</v>
      </c>
      <c r="P88" s="315" t="s">
        <v>636</v>
      </c>
      <c r="Q88" s="168"/>
      <c r="R88" s="165"/>
      <c r="S88" s="166"/>
      <c r="T88" s="313" t="s">
        <v>623</v>
      </c>
      <c r="U88" s="237" t="s">
        <v>436</v>
      </c>
      <c r="V88" s="255">
        <f>Futterlauberlöse!A32*(1+3%)^13</f>
        <v>13.569251512292452</v>
      </c>
    </row>
    <row r="89" spans="1:22" s="94" customFormat="1" ht="36" customHeight="1" thickBot="1" x14ac:dyDescent="0.3">
      <c r="A89" s="122">
        <v>13</v>
      </c>
      <c r="B89" s="138">
        <f>(SUM(M86:M88)*D8)*(1+2%)^13</f>
        <v>339.14053828397016</v>
      </c>
      <c r="C89" s="138">
        <f>(SUM(N86:N88)*D9)*(1+2%)^13</f>
        <v>0</v>
      </c>
      <c r="D89" s="123">
        <f>SUM(S86:S88)</f>
        <v>0</v>
      </c>
      <c r="E89" s="139">
        <f>SUM(B89:D89)</f>
        <v>339.14053828397016</v>
      </c>
      <c r="F89" s="126">
        <f>SUM(V86:V88)</f>
        <v>13.569251512292452</v>
      </c>
      <c r="G89" s="108"/>
      <c r="H89" s="83"/>
      <c r="I89" s="84"/>
      <c r="J89" s="85"/>
      <c r="K89" s="131"/>
      <c r="L89" s="87"/>
      <c r="M89" s="131"/>
      <c r="N89" s="87"/>
      <c r="O89" s="88"/>
      <c r="P89" s="89"/>
      <c r="Q89" s="90"/>
      <c r="R89" s="86"/>
      <c r="S89" s="91"/>
      <c r="T89" s="92"/>
      <c r="U89" s="232"/>
      <c r="V89" s="255"/>
    </row>
    <row r="90" spans="1:22" s="41" customFormat="1" ht="54" customHeight="1" x14ac:dyDescent="0.25">
      <c r="A90" s="343">
        <v>14</v>
      </c>
      <c r="B90" s="60"/>
      <c r="C90" s="60"/>
      <c r="D90" s="60"/>
      <c r="E90" s="63"/>
      <c r="F90" s="64"/>
      <c r="G90" s="162" t="s">
        <v>487</v>
      </c>
      <c r="H90" s="78" t="s">
        <v>498</v>
      </c>
      <c r="I90" s="194">
        <v>2039</v>
      </c>
      <c r="J90" s="146">
        <v>15</v>
      </c>
      <c r="K90" s="195">
        <v>1</v>
      </c>
      <c r="L90" s="153"/>
      <c r="M90" s="196">
        <f>J90*K90/60</f>
        <v>0.25</v>
      </c>
      <c r="N90" s="196">
        <f>J90*L90/60</f>
        <v>0</v>
      </c>
      <c r="O90" s="233"/>
      <c r="P90" s="197"/>
      <c r="Q90" s="198"/>
      <c r="R90" s="153"/>
      <c r="S90" s="199"/>
      <c r="T90" s="156"/>
      <c r="U90" s="197" t="s">
        <v>436</v>
      </c>
      <c r="V90" s="256"/>
    </row>
    <row r="91" spans="1:22" s="41" customFormat="1" ht="63.75" customHeight="1" x14ac:dyDescent="0.25">
      <c r="A91" s="343">
        <v>14</v>
      </c>
      <c r="B91" s="60"/>
      <c r="C91" s="60"/>
      <c r="D91" s="60"/>
      <c r="E91" s="63"/>
      <c r="F91" s="64"/>
      <c r="G91" s="162" t="s">
        <v>491</v>
      </c>
      <c r="H91" s="78" t="s">
        <v>499</v>
      </c>
      <c r="I91" s="194">
        <v>2039</v>
      </c>
      <c r="J91" s="146">
        <f>104*5</f>
        <v>520</v>
      </c>
      <c r="K91" s="153">
        <v>1</v>
      </c>
      <c r="L91" s="153"/>
      <c r="M91" s="196">
        <f>J91*K91/60</f>
        <v>8.6666666666666661</v>
      </c>
      <c r="N91" s="196">
        <f>J91*L91/60</f>
        <v>0</v>
      </c>
      <c r="O91" s="155" t="s">
        <v>628</v>
      </c>
      <c r="P91" s="197"/>
      <c r="Q91" s="198" t="s">
        <v>500</v>
      </c>
      <c r="R91" s="153"/>
      <c r="S91" s="199"/>
      <c r="T91" s="156" t="s">
        <v>501</v>
      </c>
      <c r="U91" s="163" t="s">
        <v>502</v>
      </c>
      <c r="V91" s="257"/>
    </row>
    <row r="92" spans="1:22" s="41" customFormat="1" ht="69" customHeight="1" thickBot="1" x14ac:dyDescent="0.3">
      <c r="A92" s="343">
        <v>14</v>
      </c>
      <c r="B92" s="60"/>
      <c r="C92" s="60"/>
      <c r="D92" s="60"/>
      <c r="E92" s="63"/>
      <c r="F92" s="64"/>
      <c r="G92" s="170" t="s">
        <v>632</v>
      </c>
      <c r="H92" s="312" t="s">
        <v>634</v>
      </c>
      <c r="I92" s="234">
        <v>2039</v>
      </c>
      <c r="J92" s="164">
        <f>20*9</f>
        <v>180</v>
      </c>
      <c r="K92" s="235">
        <v>1</v>
      </c>
      <c r="L92" s="235"/>
      <c r="M92" s="236">
        <f>J92*K92/60</f>
        <v>3</v>
      </c>
      <c r="N92" s="236">
        <f>J92*L92/60</f>
        <v>0</v>
      </c>
      <c r="O92" s="313" t="s">
        <v>635</v>
      </c>
      <c r="P92" s="315" t="s">
        <v>636</v>
      </c>
      <c r="Q92" s="168"/>
      <c r="R92" s="165"/>
      <c r="S92" s="166"/>
      <c r="T92" s="313" t="s">
        <v>623</v>
      </c>
      <c r="U92" s="237" t="s">
        <v>436</v>
      </c>
      <c r="V92" s="255">
        <f>Futterlauberlöse!A32*(1+3%)^14</f>
        <v>13.976329057661227</v>
      </c>
    </row>
    <row r="93" spans="1:22" s="94" customFormat="1" ht="36" customHeight="1" thickBot="1" x14ac:dyDescent="0.3">
      <c r="A93" s="122">
        <v>14</v>
      </c>
      <c r="B93" s="138">
        <f>(SUM(M90:M92)*D8)*(1+2%)^14</f>
        <v>345.92334904964957</v>
      </c>
      <c r="C93" s="138">
        <f>(SUM(N90:N92)*D9)*(1+2%)^14</f>
        <v>0</v>
      </c>
      <c r="D93" s="123">
        <f>SUM(S90:S92)</f>
        <v>0</v>
      </c>
      <c r="E93" s="139">
        <f>SUM(B93:D93)</f>
        <v>345.92334904964957</v>
      </c>
      <c r="F93" s="126">
        <f>SUM(V90:V92)</f>
        <v>13.976329057661227</v>
      </c>
      <c r="G93" s="108"/>
      <c r="H93" s="83"/>
      <c r="I93" s="84"/>
      <c r="J93" s="85"/>
      <c r="K93" s="131"/>
      <c r="L93" s="87"/>
      <c r="M93" s="131"/>
      <c r="N93" s="87"/>
      <c r="O93" s="88"/>
      <c r="P93" s="89"/>
      <c r="Q93" s="90"/>
      <c r="R93" s="86"/>
      <c r="S93" s="91"/>
      <c r="T93" s="92"/>
      <c r="U93" s="232"/>
      <c r="V93" s="255"/>
    </row>
    <row r="94" spans="1:22" s="41" customFormat="1" ht="54" customHeight="1" x14ac:dyDescent="0.25">
      <c r="A94" s="343">
        <v>15</v>
      </c>
      <c r="B94" s="60"/>
      <c r="C94" s="60"/>
      <c r="D94" s="60"/>
      <c r="E94" s="63"/>
      <c r="F94" s="64"/>
      <c r="G94" s="162" t="s">
        <v>487</v>
      </c>
      <c r="H94" s="78" t="s">
        <v>498</v>
      </c>
      <c r="I94" s="194">
        <v>2040</v>
      </c>
      <c r="J94" s="146">
        <v>15</v>
      </c>
      <c r="K94" s="195">
        <v>1</v>
      </c>
      <c r="L94" s="153"/>
      <c r="M94" s="196">
        <f>J94*K94/60</f>
        <v>0.25</v>
      </c>
      <c r="N94" s="196">
        <f>J94*L94/60</f>
        <v>0</v>
      </c>
      <c r="O94" s="233"/>
      <c r="P94" s="197"/>
      <c r="Q94" s="198"/>
      <c r="R94" s="153"/>
      <c r="S94" s="199"/>
      <c r="T94" s="156"/>
      <c r="U94" s="197" t="s">
        <v>436</v>
      </c>
      <c r="V94" s="256"/>
    </row>
    <row r="95" spans="1:22" s="41" customFormat="1" ht="72.75" customHeight="1" x14ac:dyDescent="0.25">
      <c r="A95" s="343">
        <v>15</v>
      </c>
      <c r="B95" s="60"/>
      <c r="C95" s="60"/>
      <c r="D95" s="60"/>
      <c r="E95" s="63"/>
      <c r="F95" s="64"/>
      <c r="G95" s="162" t="s">
        <v>491</v>
      </c>
      <c r="H95" s="78" t="s">
        <v>499</v>
      </c>
      <c r="I95" s="194">
        <v>2040</v>
      </c>
      <c r="J95" s="146">
        <f>104*6</f>
        <v>624</v>
      </c>
      <c r="K95" s="153">
        <v>1</v>
      </c>
      <c r="L95" s="153"/>
      <c r="M95" s="196">
        <f>J95*K95/60</f>
        <v>10.4</v>
      </c>
      <c r="N95" s="196">
        <f>J95*L95/60</f>
        <v>0</v>
      </c>
      <c r="O95" s="155" t="s">
        <v>629</v>
      </c>
      <c r="P95" s="197"/>
      <c r="Q95" s="198" t="s">
        <v>503</v>
      </c>
      <c r="R95" s="153"/>
      <c r="S95" s="199"/>
      <c r="T95" s="156" t="s">
        <v>501</v>
      </c>
      <c r="U95" s="163" t="s">
        <v>502</v>
      </c>
      <c r="V95" s="257"/>
    </row>
    <row r="96" spans="1:22" s="41" customFormat="1" ht="69" customHeight="1" thickBot="1" x14ac:dyDescent="0.3">
      <c r="A96" s="343">
        <v>15</v>
      </c>
      <c r="B96" s="60"/>
      <c r="C96" s="60"/>
      <c r="D96" s="60"/>
      <c r="E96" s="63"/>
      <c r="F96" s="64"/>
      <c r="G96" s="170" t="s">
        <v>632</v>
      </c>
      <c r="H96" s="312" t="s">
        <v>634</v>
      </c>
      <c r="I96" s="234">
        <v>2040</v>
      </c>
      <c r="J96" s="164">
        <f>20*9</f>
        <v>180</v>
      </c>
      <c r="K96" s="235">
        <v>1</v>
      </c>
      <c r="L96" s="235"/>
      <c r="M96" s="236">
        <f>J96*K96/60</f>
        <v>3</v>
      </c>
      <c r="N96" s="236">
        <f>J96*L96/60</f>
        <v>0</v>
      </c>
      <c r="O96" s="313" t="s">
        <v>635</v>
      </c>
      <c r="P96" s="315" t="s">
        <v>636</v>
      </c>
      <c r="Q96" s="168"/>
      <c r="R96" s="165"/>
      <c r="S96" s="166"/>
      <c r="T96" s="313" t="s">
        <v>623</v>
      </c>
      <c r="U96" s="237" t="s">
        <v>436</v>
      </c>
      <c r="V96" s="255">
        <f>Futterlauberlöse!A32*(1+3%)^15</f>
        <v>14.395618929391064</v>
      </c>
    </row>
    <row r="97" spans="1:22" s="94" customFormat="1" ht="36" customHeight="1" thickBot="1" x14ac:dyDescent="0.3">
      <c r="A97" s="122">
        <v>15</v>
      </c>
      <c r="B97" s="138">
        <f>(SUM(M94:M96)*D8)*(1+2%)^15</f>
        <v>404.16426199873604</v>
      </c>
      <c r="C97" s="138">
        <f>(SUM(N94:N96)*D9)*(1+2%)^15</f>
        <v>0</v>
      </c>
      <c r="D97" s="123">
        <f>SUM(S94:S96)</f>
        <v>0</v>
      </c>
      <c r="E97" s="139">
        <f>SUM(B97:D97)</f>
        <v>404.16426199873604</v>
      </c>
      <c r="F97" s="126">
        <f>SUM(V94:V96)</f>
        <v>14.395618929391064</v>
      </c>
      <c r="G97" s="108"/>
      <c r="H97" s="83"/>
      <c r="I97" s="84"/>
      <c r="J97" s="85"/>
      <c r="K97" s="131"/>
      <c r="L97" s="87"/>
      <c r="M97" s="131"/>
      <c r="N97" s="87"/>
      <c r="O97" s="88"/>
      <c r="P97" s="89"/>
      <c r="Q97" s="90"/>
      <c r="R97" s="86"/>
      <c r="S97" s="91"/>
      <c r="T97" s="92"/>
      <c r="U97" s="232"/>
      <c r="V97" s="255"/>
    </row>
    <row r="98" spans="1:22" s="41" customFormat="1" ht="54" customHeight="1" x14ac:dyDescent="0.25">
      <c r="A98" s="343">
        <v>16</v>
      </c>
      <c r="B98" s="60"/>
      <c r="C98" s="60"/>
      <c r="D98" s="60"/>
      <c r="E98" s="63"/>
      <c r="F98" s="64"/>
      <c r="G98" s="162" t="s">
        <v>487</v>
      </c>
      <c r="H98" s="78" t="s">
        <v>498</v>
      </c>
      <c r="I98" s="194">
        <v>2041</v>
      </c>
      <c r="J98" s="146">
        <v>15</v>
      </c>
      <c r="K98" s="195">
        <v>1</v>
      </c>
      <c r="L98" s="153"/>
      <c r="M98" s="196">
        <f>J98*K98/60</f>
        <v>0.25</v>
      </c>
      <c r="N98" s="196">
        <f>J98*L98/60</f>
        <v>0</v>
      </c>
      <c r="O98" s="233"/>
      <c r="P98" s="197"/>
      <c r="Q98" s="198"/>
      <c r="R98" s="153"/>
      <c r="S98" s="199"/>
      <c r="T98" s="156"/>
      <c r="U98" s="197" t="s">
        <v>436</v>
      </c>
      <c r="V98" s="256"/>
    </row>
    <row r="99" spans="1:22" s="41" customFormat="1" ht="64.5" customHeight="1" x14ac:dyDescent="0.25">
      <c r="A99" s="343">
        <v>16</v>
      </c>
      <c r="B99" s="60"/>
      <c r="C99" s="60"/>
      <c r="D99" s="60"/>
      <c r="E99" s="63"/>
      <c r="F99" s="64"/>
      <c r="G99" s="162" t="s">
        <v>491</v>
      </c>
      <c r="H99" s="78" t="s">
        <v>499</v>
      </c>
      <c r="I99" s="194">
        <v>2041</v>
      </c>
      <c r="J99" s="146">
        <f>104*6</f>
        <v>624</v>
      </c>
      <c r="K99" s="153">
        <v>1</v>
      </c>
      <c r="L99" s="153"/>
      <c r="M99" s="196">
        <f>J99*K99/60</f>
        <v>10.4</v>
      </c>
      <c r="N99" s="196">
        <f>J99*L99/60</f>
        <v>0</v>
      </c>
      <c r="O99" s="155" t="s">
        <v>629</v>
      </c>
      <c r="P99" s="197"/>
      <c r="Q99" s="198" t="s">
        <v>503</v>
      </c>
      <c r="R99" s="153"/>
      <c r="S99" s="199"/>
      <c r="T99" s="156" t="s">
        <v>501</v>
      </c>
      <c r="U99" s="163" t="s">
        <v>502</v>
      </c>
      <c r="V99" s="257"/>
    </row>
    <row r="100" spans="1:22" s="41" customFormat="1" ht="65.25" customHeight="1" thickBot="1" x14ac:dyDescent="0.3">
      <c r="A100" s="343">
        <v>16</v>
      </c>
      <c r="B100" s="60"/>
      <c r="C100" s="60"/>
      <c r="D100" s="60"/>
      <c r="E100" s="63"/>
      <c r="F100" s="64"/>
      <c r="G100" s="170" t="s">
        <v>632</v>
      </c>
      <c r="H100" s="312" t="s">
        <v>634</v>
      </c>
      <c r="I100" s="234">
        <v>2041</v>
      </c>
      <c r="J100" s="164">
        <f>20*9</f>
        <v>180</v>
      </c>
      <c r="K100" s="235">
        <v>1</v>
      </c>
      <c r="L100" s="235"/>
      <c r="M100" s="236">
        <f>J100*K100/60</f>
        <v>3</v>
      </c>
      <c r="N100" s="236">
        <f>J100*L100/60</f>
        <v>0</v>
      </c>
      <c r="O100" s="313" t="s">
        <v>635</v>
      </c>
      <c r="P100" s="315" t="s">
        <v>636</v>
      </c>
      <c r="Q100" s="168"/>
      <c r="R100" s="165"/>
      <c r="S100" s="166"/>
      <c r="T100" s="313" t="s">
        <v>623</v>
      </c>
      <c r="U100" s="237" t="s">
        <v>436</v>
      </c>
      <c r="V100" s="255">
        <f>Futterlauberlöse!A32*(1+3%)^16</f>
        <v>14.827487497272793</v>
      </c>
    </row>
    <row r="101" spans="1:22" s="94" customFormat="1" ht="36" customHeight="1" thickBot="1" x14ac:dyDescent="0.3">
      <c r="A101" s="122">
        <v>16</v>
      </c>
      <c r="B101" s="138">
        <f>(SUM(M98:M100)*D8)*(1+2%)^16</f>
        <v>412.24754723871081</v>
      </c>
      <c r="C101" s="138">
        <f>(SUM(N98:N100)*D9)*(1+2%)^16</f>
        <v>0</v>
      </c>
      <c r="D101" s="123">
        <f>SUM(S98:S100)</f>
        <v>0</v>
      </c>
      <c r="E101" s="139">
        <f>SUM(B101:D101)</f>
        <v>412.24754723871081</v>
      </c>
      <c r="F101" s="126">
        <f>SUM(V98:V100)</f>
        <v>14.827487497272793</v>
      </c>
      <c r="G101" s="108"/>
      <c r="H101" s="83"/>
      <c r="I101" s="84"/>
      <c r="J101" s="85"/>
      <c r="K101" s="131"/>
      <c r="L101" s="87"/>
      <c r="M101" s="131"/>
      <c r="N101" s="87"/>
      <c r="O101" s="88"/>
      <c r="P101" s="89"/>
      <c r="Q101" s="90"/>
      <c r="R101" s="86"/>
      <c r="S101" s="91"/>
      <c r="T101" s="92"/>
      <c r="U101" s="93"/>
      <c r="V101" s="255"/>
    </row>
    <row r="102" spans="1:22" s="41" customFormat="1" ht="54" customHeight="1" x14ac:dyDescent="0.25">
      <c r="A102" s="343">
        <v>17</v>
      </c>
      <c r="B102" s="60"/>
      <c r="C102" s="60"/>
      <c r="D102" s="60"/>
      <c r="E102" s="63"/>
      <c r="F102" s="64"/>
      <c r="G102" s="162" t="s">
        <v>487</v>
      </c>
      <c r="H102" s="78" t="s">
        <v>498</v>
      </c>
      <c r="I102" s="194">
        <v>2042</v>
      </c>
      <c r="J102" s="146">
        <v>15</v>
      </c>
      <c r="K102" s="195">
        <v>1</v>
      </c>
      <c r="L102" s="153"/>
      <c r="M102" s="196">
        <f>J102*K102/60</f>
        <v>0.25</v>
      </c>
      <c r="N102" s="196">
        <f>J102*L102/60</f>
        <v>0</v>
      </c>
      <c r="O102" s="233"/>
      <c r="P102" s="197"/>
      <c r="Q102" s="198"/>
      <c r="R102" s="153"/>
      <c r="S102" s="199"/>
      <c r="T102" s="156"/>
      <c r="U102" s="197" t="s">
        <v>436</v>
      </c>
      <c r="V102" s="256"/>
    </row>
    <row r="103" spans="1:22" s="41" customFormat="1" ht="77.25" customHeight="1" x14ac:dyDescent="0.25">
      <c r="A103" s="343">
        <v>17</v>
      </c>
      <c r="B103" s="60"/>
      <c r="C103" s="60"/>
      <c r="D103" s="60"/>
      <c r="E103" s="63"/>
      <c r="F103" s="64"/>
      <c r="G103" s="162" t="s">
        <v>491</v>
      </c>
      <c r="H103" s="78" t="s">
        <v>499</v>
      </c>
      <c r="I103" s="194">
        <v>2042</v>
      </c>
      <c r="J103" s="146">
        <f>104*7</f>
        <v>728</v>
      </c>
      <c r="K103" s="153">
        <v>1</v>
      </c>
      <c r="L103" s="153"/>
      <c r="M103" s="196">
        <f>J103*K103/60</f>
        <v>12.133333333333333</v>
      </c>
      <c r="N103" s="196">
        <f>J103*L103/60</f>
        <v>0</v>
      </c>
      <c r="O103" s="155" t="s">
        <v>630</v>
      </c>
      <c r="P103" s="197"/>
      <c r="Q103" s="198" t="s">
        <v>503</v>
      </c>
      <c r="R103" s="153"/>
      <c r="S103" s="199"/>
      <c r="T103" s="156" t="s">
        <v>501</v>
      </c>
      <c r="U103" s="163" t="s">
        <v>502</v>
      </c>
      <c r="V103" s="257"/>
    </row>
    <row r="104" spans="1:22" s="41" customFormat="1" ht="69" customHeight="1" thickBot="1" x14ac:dyDescent="0.3">
      <c r="A104" s="343">
        <v>17</v>
      </c>
      <c r="B104" s="60"/>
      <c r="C104" s="60"/>
      <c r="D104" s="60"/>
      <c r="E104" s="63"/>
      <c r="F104" s="64"/>
      <c r="G104" s="170" t="s">
        <v>632</v>
      </c>
      <c r="H104" s="312" t="s">
        <v>634</v>
      </c>
      <c r="I104" s="234">
        <v>2042</v>
      </c>
      <c r="J104" s="164">
        <f>20*9</f>
        <v>180</v>
      </c>
      <c r="K104" s="235">
        <v>1</v>
      </c>
      <c r="L104" s="235"/>
      <c r="M104" s="236">
        <f>J104*K104/60</f>
        <v>3</v>
      </c>
      <c r="N104" s="236">
        <f>J104*L104/60</f>
        <v>0</v>
      </c>
      <c r="O104" s="313" t="s">
        <v>635</v>
      </c>
      <c r="P104" s="315" t="s">
        <v>636</v>
      </c>
      <c r="Q104" s="168"/>
      <c r="R104" s="165"/>
      <c r="S104" s="166"/>
      <c r="T104" s="313" t="s">
        <v>623</v>
      </c>
      <c r="U104" s="237" t="s">
        <v>436</v>
      </c>
      <c r="V104" s="255">
        <f>Futterlauberlöse!A32*(1+3%)^17</f>
        <v>15.272312122190977</v>
      </c>
    </row>
    <row r="105" spans="1:22" s="94" customFormat="1" ht="36" customHeight="1" thickBot="1" x14ac:dyDescent="0.3">
      <c r="A105" s="122">
        <v>17</v>
      </c>
      <c r="B105" s="138">
        <f>(SUM(M102:M104)*D8)*(1+2%)^17</f>
        <v>473.88837096868951</v>
      </c>
      <c r="C105" s="138">
        <f>(SUM(N102:N104)*D9)*(1+2%)^17</f>
        <v>0</v>
      </c>
      <c r="D105" s="123">
        <f>SUM(S102:S104)</f>
        <v>0</v>
      </c>
      <c r="E105" s="139">
        <f>SUM(B105:D105)</f>
        <v>473.88837096868951</v>
      </c>
      <c r="F105" s="126">
        <f>SUM(V102:V104)</f>
        <v>15.272312122190977</v>
      </c>
      <c r="G105" s="108"/>
      <c r="H105" s="83"/>
      <c r="I105" s="84"/>
      <c r="J105" s="85"/>
      <c r="K105" s="131"/>
      <c r="L105" s="87"/>
      <c r="M105" s="131"/>
      <c r="N105" s="87"/>
      <c r="O105" s="88"/>
      <c r="P105" s="89"/>
      <c r="Q105" s="90"/>
      <c r="R105" s="86"/>
      <c r="S105" s="91"/>
      <c r="T105" s="92"/>
      <c r="U105" s="93"/>
      <c r="V105" s="255"/>
    </row>
    <row r="106" spans="1:22" s="41" customFormat="1" ht="54" customHeight="1" x14ac:dyDescent="0.25">
      <c r="A106" s="343">
        <v>18</v>
      </c>
      <c r="B106" s="60"/>
      <c r="C106" s="60"/>
      <c r="D106" s="60"/>
      <c r="E106" s="63"/>
      <c r="F106" s="64"/>
      <c r="G106" s="162" t="s">
        <v>487</v>
      </c>
      <c r="H106" s="78" t="s">
        <v>498</v>
      </c>
      <c r="I106" s="194">
        <v>2043</v>
      </c>
      <c r="J106" s="146">
        <v>15</v>
      </c>
      <c r="K106" s="195">
        <v>1</v>
      </c>
      <c r="L106" s="153"/>
      <c r="M106" s="196">
        <f>J106*K106/60</f>
        <v>0.25</v>
      </c>
      <c r="N106" s="196">
        <f>J106*L106/60</f>
        <v>0</v>
      </c>
      <c r="O106" s="233"/>
      <c r="P106" s="197"/>
      <c r="Q106" s="198"/>
      <c r="R106" s="153"/>
      <c r="S106" s="199"/>
      <c r="T106" s="156"/>
      <c r="U106" s="197" t="s">
        <v>436</v>
      </c>
      <c r="V106" s="256"/>
    </row>
    <row r="107" spans="1:22" s="41" customFormat="1" ht="62.25" customHeight="1" x14ac:dyDescent="0.25">
      <c r="A107" s="343">
        <v>18</v>
      </c>
      <c r="B107" s="60"/>
      <c r="C107" s="60"/>
      <c r="D107" s="60"/>
      <c r="E107" s="63"/>
      <c r="F107" s="64"/>
      <c r="G107" s="162" t="s">
        <v>491</v>
      </c>
      <c r="H107" s="78" t="s">
        <v>499</v>
      </c>
      <c r="I107" s="194">
        <v>2043</v>
      </c>
      <c r="J107" s="146">
        <f>104*7</f>
        <v>728</v>
      </c>
      <c r="K107" s="153">
        <v>1</v>
      </c>
      <c r="L107" s="153"/>
      <c r="M107" s="196">
        <f>J107*K107/60</f>
        <v>12.133333333333333</v>
      </c>
      <c r="N107" s="196">
        <f>J107*L107/60</f>
        <v>0</v>
      </c>
      <c r="O107" s="155" t="s">
        <v>630</v>
      </c>
      <c r="P107" s="197"/>
      <c r="Q107" s="198" t="s">
        <v>503</v>
      </c>
      <c r="R107" s="153"/>
      <c r="S107" s="199"/>
      <c r="T107" s="156" t="s">
        <v>501</v>
      </c>
      <c r="U107" s="163" t="s">
        <v>502</v>
      </c>
      <c r="V107" s="257"/>
    </row>
    <row r="108" spans="1:22" s="41" customFormat="1" ht="69" customHeight="1" thickBot="1" x14ac:dyDescent="0.3">
      <c r="A108" s="343">
        <v>18</v>
      </c>
      <c r="B108" s="60"/>
      <c r="C108" s="60"/>
      <c r="D108" s="60"/>
      <c r="E108" s="63"/>
      <c r="F108" s="64"/>
      <c r="G108" s="170" t="s">
        <v>632</v>
      </c>
      <c r="H108" s="312" t="s">
        <v>634</v>
      </c>
      <c r="I108" s="234">
        <v>2043</v>
      </c>
      <c r="J108" s="164">
        <f>20*9</f>
        <v>180</v>
      </c>
      <c r="K108" s="235">
        <v>1</v>
      </c>
      <c r="L108" s="235"/>
      <c r="M108" s="236">
        <f>J108*K108/60</f>
        <v>3</v>
      </c>
      <c r="N108" s="236">
        <f>J108*L108/60</f>
        <v>0</v>
      </c>
      <c r="O108" s="313" t="s">
        <v>635</v>
      </c>
      <c r="P108" s="315" t="s">
        <v>636</v>
      </c>
      <c r="Q108" s="168"/>
      <c r="R108" s="165"/>
      <c r="S108" s="166"/>
      <c r="T108" s="313" t="s">
        <v>623</v>
      </c>
      <c r="U108" s="237" t="s">
        <v>436</v>
      </c>
      <c r="V108" s="255">
        <f>Futterlauberlöse!A32*(1+3%)^18</f>
        <v>15.730481485856707</v>
      </c>
    </row>
    <row r="109" spans="1:22" s="94" customFormat="1" ht="36" customHeight="1" thickBot="1" x14ac:dyDescent="0.3">
      <c r="A109" s="122">
        <v>18</v>
      </c>
      <c r="B109" s="138">
        <f>(SUM(M106:M108)*D8)*(1+2%)^18</f>
        <v>483.36613838806323</v>
      </c>
      <c r="C109" s="138">
        <f>(SUM(N106:N108)*D9)*(1+2%)^18</f>
        <v>0</v>
      </c>
      <c r="D109" s="123">
        <f>SUM(S106:S108)</f>
        <v>0</v>
      </c>
      <c r="E109" s="139">
        <f>SUM(B109:D109)</f>
        <v>483.36613838806323</v>
      </c>
      <c r="F109" s="126">
        <f>SUM(V106:V108)</f>
        <v>15.730481485856707</v>
      </c>
      <c r="G109" s="108"/>
      <c r="H109" s="83"/>
      <c r="I109" s="84"/>
      <c r="J109" s="85"/>
      <c r="K109" s="131"/>
      <c r="L109" s="87"/>
      <c r="M109" s="131"/>
      <c r="N109" s="87"/>
      <c r="O109" s="88"/>
      <c r="P109" s="89"/>
      <c r="Q109" s="90"/>
      <c r="R109" s="86"/>
      <c r="S109" s="91"/>
      <c r="T109" s="92"/>
      <c r="U109" s="232"/>
      <c r="V109" s="255"/>
    </row>
    <row r="110" spans="1:22" s="41" customFormat="1" ht="54" customHeight="1" x14ac:dyDescent="0.25">
      <c r="A110" s="343">
        <v>19</v>
      </c>
      <c r="B110" s="60"/>
      <c r="C110" s="60"/>
      <c r="D110" s="60"/>
      <c r="E110" s="63"/>
      <c r="F110" s="64"/>
      <c r="G110" s="162" t="s">
        <v>487</v>
      </c>
      <c r="H110" s="78" t="s">
        <v>498</v>
      </c>
      <c r="I110" s="194">
        <v>2044</v>
      </c>
      <c r="J110" s="146">
        <v>15</v>
      </c>
      <c r="K110" s="195">
        <v>1</v>
      </c>
      <c r="L110" s="153"/>
      <c r="M110" s="196">
        <f>J110*K110/60</f>
        <v>0.25</v>
      </c>
      <c r="N110" s="196">
        <f>J110*L110/60</f>
        <v>0</v>
      </c>
      <c r="O110" s="233"/>
      <c r="P110" s="197"/>
      <c r="Q110" s="198"/>
      <c r="R110" s="153"/>
      <c r="S110" s="199"/>
      <c r="T110" s="156"/>
      <c r="U110" s="197" t="s">
        <v>436</v>
      </c>
      <c r="V110" s="256"/>
    </row>
    <row r="111" spans="1:22" s="41" customFormat="1" ht="69.75" customHeight="1" x14ac:dyDescent="0.25">
      <c r="A111" s="343">
        <v>19</v>
      </c>
      <c r="B111" s="60"/>
      <c r="C111" s="60"/>
      <c r="D111" s="60"/>
      <c r="E111" s="63"/>
      <c r="F111" s="64"/>
      <c r="G111" s="162" t="s">
        <v>491</v>
      </c>
      <c r="H111" s="78" t="s">
        <v>499</v>
      </c>
      <c r="I111" s="194">
        <v>2044</v>
      </c>
      <c r="J111" s="146">
        <f>104*8</f>
        <v>832</v>
      </c>
      <c r="K111" s="153">
        <v>1</v>
      </c>
      <c r="L111" s="153"/>
      <c r="M111" s="196">
        <f>J111*K111/60</f>
        <v>13.866666666666667</v>
      </c>
      <c r="N111" s="196">
        <f>J111*L111/60</f>
        <v>0</v>
      </c>
      <c r="O111" s="155" t="s">
        <v>504</v>
      </c>
      <c r="P111" s="197"/>
      <c r="Q111" s="198" t="s">
        <v>503</v>
      </c>
      <c r="R111" s="153"/>
      <c r="S111" s="199"/>
      <c r="T111" s="156" t="s">
        <v>501</v>
      </c>
      <c r="U111" s="163" t="s">
        <v>502</v>
      </c>
      <c r="V111" s="257"/>
    </row>
    <row r="112" spans="1:22" s="41" customFormat="1" ht="69" customHeight="1" thickBot="1" x14ac:dyDescent="0.3">
      <c r="A112" s="343">
        <v>19</v>
      </c>
      <c r="B112" s="60"/>
      <c r="C112" s="60"/>
      <c r="D112" s="60"/>
      <c r="E112" s="63"/>
      <c r="F112" s="64"/>
      <c r="G112" s="170" t="s">
        <v>632</v>
      </c>
      <c r="H112" s="312" t="s">
        <v>634</v>
      </c>
      <c r="I112" s="234">
        <v>2044</v>
      </c>
      <c r="J112" s="164">
        <f>20*9</f>
        <v>180</v>
      </c>
      <c r="K112" s="235">
        <v>1</v>
      </c>
      <c r="L112" s="235"/>
      <c r="M112" s="236">
        <f>J112*K112/60</f>
        <v>3</v>
      </c>
      <c r="N112" s="236">
        <f>J112*L112/60</f>
        <v>0</v>
      </c>
      <c r="O112" s="313" t="s">
        <v>635</v>
      </c>
      <c r="P112" s="315" t="s">
        <v>636</v>
      </c>
      <c r="Q112" s="168"/>
      <c r="R112" s="165"/>
      <c r="S112" s="166"/>
      <c r="T112" s="313" t="s">
        <v>623</v>
      </c>
      <c r="U112" s="237" t="s">
        <v>436</v>
      </c>
      <c r="V112" s="255">
        <f>Futterlauberlöse!A32*(1+3%)^19</f>
        <v>16.202395930432406</v>
      </c>
    </row>
    <row r="113" spans="1:22" s="94" customFormat="1" ht="36" customHeight="1" thickBot="1" x14ac:dyDescent="0.3">
      <c r="A113" s="122">
        <v>19</v>
      </c>
      <c r="B113" s="138">
        <f>(SUM(M110:M112)*D8)*(1+2%)^19</f>
        <v>548.58652720155112</v>
      </c>
      <c r="C113" s="138">
        <f>(SUM(N110:N112)*D9)*(1+2%)^19</f>
        <v>0</v>
      </c>
      <c r="D113" s="123">
        <f>SUM(S110:S112)</f>
        <v>0</v>
      </c>
      <c r="E113" s="139">
        <f>SUM(B113:D113)</f>
        <v>548.58652720155112</v>
      </c>
      <c r="F113" s="126">
        <f>SUM(V110:V112)</f>
        <v>16.202395930432406</v>
      </c>
      <c r="G113" s="108"/>
      <c r="H113" s="83"/>
      <c r="I113" s="84"/>
      <c r="J113" s="85"/>
      <c r="K113" s="131"/>
      <c r="L113" s="87"/>
      <c r="M113" s="131"/>
      <c r="N113" s="87"/>
      <c r="O113" s="88"/>
      <c r="P113" s="89"/>
      <c r="Q113" s="90"/>
      <c r="R113" s="86"/>
      <c r="S113" s="91"/>
      <c r="T113" s="92"/>
      <c r="U113" s="93"/>
      <c r="V113" s="255"/>
    </row>
    <row r="114" spans="1:22" s="41" customFormat="1" ht="54" customHeight="1" x14ac:dyDescent="0.25">
      <c r="A114" s="343">
        <v>20</v>
      </c>
      <c r="B114" s="60"/>
      <c r="C114" s="60"/>
      <c r="D114" s="60"/>
      <c r="E114" s="63"/>
      <c r="F114" s="64"/>
      <c r="G114" s="162" t="s">
        <v>487</v>
      </c>
      <c r="H114" s="78" t="s">
        <v>498</v>
      </c>
      <c r="I114" s="194">
        <v>2045</v>
      </c>
      <c r="J114" s="146">
        <v>15</v>
      </c>
      <c r="K114" s="195">
        <v>1</v>
      </c>
      <c r="L114" s="153"/>
      <c r="M114" s="196">
        <f>J114*K114/60</f>
        <v>0.25</v>
      </c>
      <c r="N114" s="196">
        <f>J114*L114/60</f>
        <v>0</v>
      </c>
      <c r="O114" s="233"/>
      <c r="P114" s="197"/>
      <c r="Q114" s="198"/>
      <c r="R114" s="153"/>
      <c r="S114" s="199"/>
      <c r="T114" s="156"/>
      <c r="U114" s="197" t="s">
        <v>436</v>
      </c>
      <c r="V114" s="256"/>
    </row>
    <row r="115" spans="1:22" s="41" customFormat="1" ht="68.25" customHeight="1" x14ac:dyDescent="0.25">
      <c r="A115" s="343">
        <v>20</v>
      </c>
      <c r="B115" s="60"/>
      <c r="C115" s="60"/>
      <c r="D115" s="60"/>
      <c r="E115" s="63"/>
      <c r="F115" s="64"/>
      <c r="G115" s="162" t="s">
        <v>491</v>
      </c>
      <c r="H115" s="78" t="s">
        <v>499</v>
      </c>
      <c r="I115" s="194">
        <v>2045</v>
      </c>
      <c r="J115" s="146">
        <f>104*8</f>
        <v>832</v>
      </c>
      <c r="K115" s="153">
        <v>1</v>
      </c>
      <c r="L115" s="153"/>
      <c r="M115" s="196">
        <f>J115*K115/60</f>
        <v>13.866666666666667</v>
      </c>
      <c r="N115" s="196">
        <f>J115*L115/60</f>
        <v>0</v>
      </c>
      <c r="O115" s="155" t="s">
        <v>504</v>
      </c>
      <c r="P115" s="197"/>
      <c r="Q115" s="198" t="s">
        <v>503</v>
      </c>
      <c r="R115" s="153"/>
      <c r="S115" s="199"/>
      <c r="T115" s="156" t="s">
        <v>501</v>
      </c>
      <c r="U115" s="163" t="s">
        <v>502</v>
      </c>
      <c r="V115" s="257"/>
    </row>
    <row r="116" spans="1:22" s="41" customFormat="1" ht="69" customHeight="1" thickBot="1" x14ac:dyDescent="0.3">
      <c r="A116" s="343">
        <v>20</v>
      </c>
      <c r="B116" s="60"/>
      <c r="C116" s="60"/>
      <c r="D116" s="60"/>
      <c r="E116" s="63"/>
      <c r="F116" s="64"/>
      <c r="G116" s="170" t="s">
        <v>632</v>
      </c>
      <c r="H116" s="312" t="s">
        <v>634</v>
      </c>
      <c r="I116" s="234">
        <v>2045</v>
      </c>
      <c r="J116" s="164">
        <f>20*9</f>
        <v>180</v>
      </c>
      <c r="K116" s="235">
        <v>1</v>
      </c>
      <c r="L116" s="235"/>
      <c r="M116" s="236">
        <f>J116*K116/60</f>
        <v>3</v>
      </c>
      <c r="N116" s="236">
        <f>J116*L116/60</f>
        <v>0</v>
      </c>
      <c r="O116" s="313" t="s">
        <v>635</v>
      </c>
      <c r="P116" s="315" t="s">
        <v>636</v>
      </c>
      <c r="Q116" s="168"/>
      <c r="R116" s="165"/>
      <c r="S116" s="166"/>
      <c r="T116" s="313" t="s">
        <v>623</v>
      </c>
      <c r="U116" s="237" t="s">
        <v>436</v>
      </c>
      <c r="V116" s="255">
        <f>Futterlauberlöse!A32*(1+3%)^20</f>
        <v>16.688467808345379</v>
      </c>
    </row>
    <row r="117" spans="1:22" s="94" customFormat="1" ht="36" customHeight="1" thickBot="1" x14ac:dyDescent="0.3">
      <c r="A117" s="122">
        <v>20</v>
      </c>
      <c r="B117" s="138">
        <f>(SUM(M114:M116)*D8)*(1+2%)^20</f>
        <v>559.5582577455823</v>
      </c>
      <c r="C117" s="138">
        <f>(SUM(N114:N116)*D9)*(1+2%)^20</f>
        <v>0</v>
      </c>
      <c r="D117" s="123">
        <f>SUM(S114:S116)</f>
        <v>0</v>
      </c>
      <c r="E117" s="139">
        <f>SUM(B117:D117)</f>
        <v>559.5582577455823</v>
      </c>
      <c r="F117" s="126">
        <f>SUM(V114:V116)</f>
        <v>16.688467808345379</v>
      </c>
      <c r="G117" s="108"/>
      <c r="H117" s="83"/>
      <c r="I117" s="84"/>
      <c r="J117" s="85"/>
      <c r="K117" s="131"/>
      <c r="L117" s="87"/>
      <c r="M117" s="131"/>
      <c r="N117" s="87"/>
      <c r="O117" s="88"/>
      <c r="P117" s="89"/>
      <c r="Q117" s="90"/>
      <c r="R117" s="86"/>
      <c r="S117" s="91"/>
      <c r="T117" s="92"/>
      <c r="U117" s="93"/>
      <c r="V117" s="255"/>
    </row>
    <row r="118" spans="1:22" s="41" customFormat="1" ht="54" customHeight="1" x14ac:dyDescent="0.25">
      <c r="A118" s="343">
        <v>21</v>
      </c>
      <c r="B118" s="60"/>
      <c r="C118" s="60"/>
      <c r="D118" s="60"/>
      <c r="E118" s="63"/>
      <c r="F118" s="64"/>
      <c r="G118" s="162" t="s">
        <v>487</v>
      </c>
      <c r="H118" s="78" t="s">
        <v>498</v>
      </c>
      <c r="I118" s="194">
        <v>2046</v>
      </c>
      <c r="J118" s="146">
        <v>15</v>
      </c>
      <c r="K118" s="195">
        <v>1</v>
      </c>
      <c r="L118" s="153"/>
      <c r="M118" s="196">
        <f>J118*K118/60</f>
        <v>0.25</v>
      </c>
      <c r="N118" s="196">
        <f>J118*L118/60</f>
        <v>0</v>
      </c>
      <c r="O118" s="233"/>
      <c r="P118" s="197"/>
      <c r="Q118" s="198"/>
      <c r="R118" s="153"/>
      <c r="S118" s="199"/>
      <c r="T118" s="156"/>
      <c r="U118" s="197" t="s">
        <v>436</v>
      </c>
      <c r="V118" s="256"/>
    </row>
    <row r="119" spans="1:22" s="41" customFormat="1" ht="69" customHeight="1" x14ac:dyDescent="0.25">
      <c r="A119" s="343">
        <v>21</v>
      </c>
      <c r="B119" s="60"/>
      <c r="C119" s="60"/>
      <c r="D119" s="60"/>
      <c r="E119" s="63"/>
      <c r="F119" s="64"/>
      <c r="G119" s="162" t="s">
        <v>491</v>
      </c>
      <c r="H119" s="78" t="s">
        <v>499</v>
      </c>
      <c r="I119" s="194">
        <v>2046</v>
      </c>
      <c r="J119" s="146">
        <f>104*8</f>
        <v>832</v>
      </c>
      <c r="K119" s="153">
        <v>1</v>
      </c>
      <c r="L119" s="153"/>
      <c r="M119" s="196">
        <f>J119*K119/60</f>
        <v>13.866666666666667</v>
      </c>
      <c r="N119" s="196">
        <f>J119*L119/60</f>
        <v>0</v>
      </c>
      <c r="O119" s="155" t="s">
        <v>504</v>
      </c>
      <c r="P119" s="197"/>
      <c r="Q119" s="198" t="s">
        <v>503</v>
      </c>
      <c r="R119" s="153"/>
      <c r="S119" s="199"/>
      <c r="T119" s="156" t="s">
        <v>501</v>
      </c>
      <c r="U119" s="163" t="s">
        <v>502</v>
      </c>
      <c r="V119" s="257"/>
    </row>
    <row r="120" spans="1:22" s="41" customFormat="1" ht="69" customHeight="1" x14ac:dyDescent="0.25">
      <c r="A120" s="343">
        <v>21</v>
      </c>
      <c r="B120" s="60"/>
      <c r="C120" s="60"/>
      <c r="D120" s="60"/>
      <c r="E120" s="63"/>
      <c r="F120" s="64"/>
      <c r="G120" s="170" t="s">
        <v>632</v>
      </c>
      <c r="H120" s="312" t="s">
        <v>634</v>
      </c>
      <c r="I120" s="234">
        <v>2046</v>
      </c>
      <c r="J120" s="164">
        <f>20*9</f>
        <v>180</v>
      </c>
      <c r="K120" s="235">
        <v>1</v>
      </c>
      <c r="L120" s="235"/>
      <c r="M120" s="236">
        <f>J120*K120/60</f>
        <v>3</v>
      </c>
      <c r="N120" s="236">
        <f>J120*L120/60</f>
        <v>0</v>
      </c>
      <c r="O120" s="313" t="s">
        <v>635</v>
      </c>
      <c r="P120" s="315" t="s">
        <v>636</v>
      </c>
      <c r="Q120" s="168"/>
      <c r="R120" s="165"/>
      <c r="S120" s="166"/>
      <c r="T120" s="313" t="s">
        <v>623</v>
      </c>
      <c r="U120" s="237" t="s">
        <v>436</v>
      </c>
      <c r="V120" s="255">
        <f>Futterlauberlöse!A32*(1+3%)^21</f>
        <v>17.189121842595739</v>
      </c>
    </row>
    <row r="121" spans="1:22" s="41" customFormat="1" ht="69" customHeight="1" x14ac:dyDescent="0.25">
      <c r="A121" s="343">
        <v>21</v>
      </c>
      <c r="B121" s="60"/>
      <c r="C121" s="60"/>
      <c r="D121" s="60"/>
      <c r="E121" s="63"/>
      <c r="F121" s="64"/>
      <c r="G121" s="170" t="s">
        <v>507</v>
      </c>
      <c r="H121" s="170" t="s">
        <v>638</v>
      </c>
      <c r="I121" s="234">
        <v>2046</v>
      </c>
      <c r="J121" s="164">
        <f>30*20</f>
        <v>600</v>
      </c>
      <c r="K121" s="239">
        <v>1</v>
      </c>
      <c r="L121" s="239">
        <v>1</v>
      </c>
      <c r="M121" s="236">
        <f>J121*K121/60</f>
        <v>10</v>
      </c>
      <c r="N121" s="236">
        <f>J121*L121/60</f>
        <v>10</v>
      </c>
      <c r="O121" s="172" t="s">
        <v>509</v>
      </c>
      <c r="P121" s="237" t="s">
        <v>595</v>
      </c>
      <c r="Q121" s="313" t="s">
        <v>639</v>
      </c>
      <c r="R121" s="317" t="s">
        <v>640</v>
      </c>
      <c r="S121" s="246">
        <f>35*M121</f>
        <v>350</v>
      </c>
      <c r="T121" s="313" t="s">
        <v>637</v>
      </c>
      <c r="U121" s="237" t="s">
        <v>521</v>
      </c>
      <c r="V121" s="318">
        <f>Pappelerlöse!A21</f>
        <v>3320.6258105014495</v>
      </c>
    </row>
    <row r="122" spans="1:22" s="41" customFormat="1" ht="69" customHeight="1" thickBot="1" x14ac:dyDescent="0.3">
      <c r="A122" s="343">
        <v>21</v>
      </c>
      <c r="B122" s="60"/>
      <c r="C122" s="60"/>
      <c r="D122" s="60"/>
      <c r="E122" s="63"/>
      <c r="F122" s="64"/>
      <c r="G122" s="170" t="s">
        <v>644</v>
      </c>
      <c r="H122" s="170" t="s">
        <v>645</v>
      </c>
      <c r="I122" s="234">
        <v>2046</v>
      </c>
      <c r="J122" s="164"/>
      <c r="K122" s="239"/>
      <c r="L122" s="239"/>
      <c r="M122" s="236">
        <f>J122*K122/60</f>
        <v>0</v>
      </c>
      <c r="N122" s="236">
        <f>J122*L122/60</f>
        <v>0</v>
      </c>
      <c r="O122" s="172"/>
      <c r="P122" s="237"/>
      <c r="Q122" s="313"/>
      <c r="R122" s="317"/>
      <c r="S122" s="246"/>
      <c r="T122" s="313"/>
      <c r="U122" s="237"/>
      <c r="V122" s="255"/>
    </row>
    <row r="123" spans="1:22" s="94" customFormat="1" ht="36" customHeight="1" thickBot="1" x14ac:dyDescent="0.3">
      <c r="A123" s="122">
        <v>21</v>
      </c>
      <c r="B123" s="138">
        <f>(SUM(M118:M122)*D8)*(1+2%)^21</f>
        <v>904.1960185580366</v>
      </c>
      <c r="C123" s="138">
        <f>(SUM(N118:N122)*D9)*(1+2%)^21</f>
        <v>210.67762180181106</v>
      </c>
      <c r="D123" s="123">
        <f>SUM(S118:S122)</f>
        <v>350</v>
      </c>
      <c r="E123" s="139">
        <f>SUM(B123:D123)</f>
        <v>1464.8736403598477</v>
      </c>
      <c r="F123" s="126">
        <f>SUM(V118:V122)</f>
        <v>3337.8149323440452</v>
      </c>
      <c r="G123" s="108"/>
      <c r="H123" s="83"/>
      <c r="I123" s="84"/>
      <c r="J123" s="85"/>
      <c r="K123" s="131"/>
      <c r="L123" s="87"/>
      <c r="M123" s="131"/>
      <c r="N123" s="87"/>
      <c r="O123" s="88"/>
      <c r="P123" s="89"/>
      <c r="Q123" s="90"/>
      <c r="R123" s="86"/>
      <c r="S123" s="91"/>
      <c r="T123" s="92"/>
      <c r="U123" s="93"/>
      <c r="V123" s="255"/>
    </row>
    <row r="124" spans="1:22" s="41" customFormat="1" ht="54" customHeight="1" x14ac:dyDescent="0.25">
      <c r="A124" s="343">
        <v>22</v>
      </c>
      <c r="B124" s="60"/>
      <c r="C124" s="60"/>
      <c r="D124" s="60"/>
      <c r="E124" s="63"/>
      <c r="F124" s="64"/>
      <c r="G124" s="162" t="s">
        <v>487</v>
      </c>
      <c r="H124" s="78" t="s">
        <v>498</v>
      </c>
      <c r="I124" s="194">
        <v>2047</v>
      </c>
      <c r="J124" s="146">
        <v>15</v>
      </c>
      <c r="K124" s="195">
        <v>1</v>
      </c>
      <c r="L124" s="153"/>
      <c r="M124" s="196">
        <f>J124*K124/60</f>
        <v>0.25</v>
      </c>
      <c r="N124" s="196">
        <f>J124*L124/60</f>
        <v>0</v>
      </c>
      <c r="O124" s="233"/>
      <c r="P124" s="197"/>
      <c r="Q124" s="198"/>
      <c r="R124" s="153"/>
      <c r="S124" s="199"/>
      <c r="T124" s="156"/>
      <c r="U124" s="197" t="s">
        <v>436</v>
      </c>
      <c r="V124" s="256"/>
    </row>
    <row r="125" spans="1:22" s="41" customFormat="1" ht="69" customHeight="1" x14ac:dyDescent="0.25">
      <c r="A125" s="343">
        <v>22</v>
      </c>
      <c r="B125" s="60"/>
      <c r="C125" s="60"/>
      <c r="D125" s="60"/>
      <c r="E125" s="63"/>
      <c r="F125" s="64"/>
      <c r="G125" s="162" t="s">
        <v>491</v>
      </c>
      <c r="H125" s="78" t="s">
        <v>499</v>
      </c>
      <c r="I125" s="194">
        <v>2047</v>
      </c>
      <c r="J125" s="146">
        <f>104*8</f>
        <v>832</v>
      </c>
      <c r="K125" s="153">
        <v>1</v>
      </c>
      <c r="L125" s="153"/>
      <c r="M125" s="196">
        <f>J125*K125/60</f>
        <v>13.866666666666667</v>
      </c>
      <c r="N125" s="196">
        <f>J125*L125/60</f>
        <v>0</v>
      </c>
      <c r="O125" s="155" t="s">
        <v>504</v>
      </c>
      <c r="P125" s="197"/>
      <c r="Q125" s="198" t="s">
        <v>503</v>
      </c>
      <c r="R125" s="153"/>
      <c r="S125" s="199"/>
      <c r="T125" s="156" t="s">
        <v>501</v>
      </c>
      <c r="U125" s="163" t="s">
        <v>502</v>
      </c>
      <c r="V125" s="257"/>
    </row>
    <row r="126" spans="1:22" s="41" customFormat="1" ht="69" customHeight="1" thickBot="1" x14ac:dyDescent="0.3">
      <c r="A126" s="343">
        <v>22</v>
      </c>
      <c r="B126" s="60"/>
      <c r="C126" s="60"/>
      <c r="D126" s="60"/>
      <c r="E126" s="63"/>
      <c r="F126" s="64"/>
      <c r="G126" s="170" t="s">
        <v>632</v>
      </c>
      <c r="H126" s="312" t="s">
        <v>634</v>
      </c>
      <c r="I126" s="234">
        <v>2047</v>
      </c>
      <c r="J126" s="164">
        <f>20*9</f>
        <v>180</v>
      </c>
      <c r="K126" s="235">
        <v>1</v>
      </c>
      <c r="L126" s="235"/>
      <c r="M126" s="236">
        <f>J126*K126/60</f>
        <v>3</v>
      </c>
      <c r="N126" s="236">
        <f>J126*L126/60</f>
        <v>0</v>
      </c>
      <c r="O126" s="313" t="s">
        <v>635</v>
      </c>
      <c r="P126" s="315" t="s">
        <v>636</v>
      </c>
      <c r="Q126" s="168"/>
      <c r="R126" s="165"/>
      <c r="S126" s="166"/>
      <c r="T126" s="313" t="s">
        <v>623</v>
      </c>
      <c r="U126" s="237" t="s">
        <v>436</v>
      </c>
      <c r="V126" s="255">
        <f>Futterlauberlöse!A32*(1+3%)^22</f>
        <v>17.704795497873612</v>
      </c>
    </row>
    <row r="127" spans="1:22" s="94" customFormat="1" ht="36" customHeight="1" thickBot="1" x14ac:dyDescent="0.3">
      <c r="A127" s="122">
        <v>22</v>
      </c>
      <c r="B127" s="138">
        <f>(SUM(M124:M126)*D8)*(1+2%)^22</f>
        <v>582.1644113585038</v>
      </c>
      <c r="C127" s="138">
        <f>(SUM(N124:N126)*D9)*(1+2%)^22</f>
        <v>0</v>
      </c>
      <c r="D127" s="123">
        <f>SUM(S124:S126)</f>
        <v>0</v>
      </c>
      <c r="E127" s="139">
        <f>SUM(B127:D127)</f>
        <v>582.1644113585038</v>
      </c>
      <c r="F127" s="126">
        <f>SUM(V124:V126)</f>
        <v>17.704795497873612</v>
      </c>
      <c r="G127" s="108"/>
      <c r="H127" s="83"/>
      <c r="I127" s="84"/>
      <c r="J127" s="85"/>
      <c r="K127" s="131"/>
      <c r="L127" s="87"/>
      <c r="M127" s="131"/>
      <c r="N127" s="87"/>
      <c r="O127" s="88"/>
      <c r="P127" s="89"/>
      <c r="Q127" s="90"/>
      <c r="R127" s="86"/>
      <c r="S127" s="91"/>
      <c r="T127" s="92"/>
      <c r="U127" s="232"/>
      <c r="V127" s="255"/>
    </row>
    <row r="128" spans="1:22" s="41" customFormat="1" ht="54" customHeight="1" x14ac:dyDescent="0.25">
      <c r="A128" s="343">
        <v>23</v>
      </c>
      <c r="B128" s="60"/>
      <c r="C128" s="60"/>
      <c r="D128" s="60"/>
      <c r="E128" s="63"/>
      <c r="F128" s="64"/>
      <c r="G128" s="162" t="s">
        <v>487</v>
      </c>
      <c r="H128" s="78" t="s">
        <v>498</v>
      </c>
      <c r="I128" s="194">
        <v>2048</v>
      </c>
      <c r="J128" s="146">
        <v>15</v>
      </c>
      <c r="K128" s="195">
        <v>1</v>
      </c>
      <c r="L128" s="153"/>
      <c r="M128" s="196">
        <f>J128*K128/60</f>
        <v>0.25</v>
      </c>
      <c r="N128" s="196">
        <f>J128*L128/60</f>
        <v>0</v>
      </c>
      <c r="O128" s="233"/>
      <c r="P128" s="197"/>
      <c r="Q128" s="198"/>
      <c r="R128" s="153"/>
      <c r="S128" s="199"/>
      <c r="T128" s="156"/>
      <c r="U128" s="197" t="s">
        <v>436</v>
      </c>
      <c r="V128" s="256"/>
    </row>
    <row r="129" spans="1:22" s="41" customFormat="1" ht="69" customHeight="1" x14ac:dyDescent="0.25">
      <c r="A129" s="343">
        <v>23</v>
      </c>
      <c r="B129" s="60"/>
      <c r="C129" s="60"/>
      <c r="D129" s="60"/>
      <c r="E129" s="63"/>
      <c r="F129" s="64"/>
      <c r="G129" s="162" t="s">
        <v>491</v>
      </c>
      <c r="H129" s="78" t="s">
        <v>499</v>
      </c>
      <c r="I129" s="194">
        <v>2048</v>
      </c>
      <c r="J129" s="146">
        <f>74*8</f>
        <v>592</v>
      </c>
      <c r="K129" s="153">
        <v>1</v>
      </c>
      <c r="L129" s="153"/>
      <c r="M129" s="196">
        <f>J129*K129/60</f>
        <v>9.8666666666666671</v>
      </c>
      <c r="N129" s="196">
        <f>J129*L129/60</f>
        <v>0</v>
      </c>
      <c r="O129" s="155" t="s">
        <v>631</v>
      </c>
      <c r="P129" s="197"/>
      <c r="Q129" s="198" t="s">
        <v>503</v>
      </c>
      <c r="R129" s="153"/>
      <c r="S129" s="199"/>
      <c r="T129" s="156" t="s">
        <v>588</v>
      </c>
      <c r="U129" s="163" t="s">
        <v>502</v>
      </c>
      <c r="V129" s="257"/>
    </row>
    <row r="130" spans="1:22" s="41" customFormat="1" ht="69" customHeight="1" x14ac:dyDescent="0.25">
      <c r="A130" s="343">
        <v>23</v>
      </c>
      <c r="B130" s="60"/>
      <c r="C130" s="60"/>
      <c r="D130" s="60"/>
      <c r="E130" s="63"/>
      <c r="F130" s="64"/>
      <c r="G130" s="170" t="s">
        <v>632</v>
      </c>
      <c r="H130" s="312" t="s">
        <v>634</v>
      </c>
      <c r="I130" s="234">
        <v>2048</v>
      </c>
      <c r="J130" s="164">
        <f>20*9</f>
        <v>180</v>
      </c>
      <c r="K130" s="235">
        <v>1</v>
      </c>
      <c r="L130" s="235"/>
      <c r="M130" s="236">
        <f>J130*K130/60</f>
        <v>3</v>
      </c>
      <c r="N130" s="236">
        <f>J130*L130/60</f>
        <v>0</v>
      </c>
      <c r="O130" s="313" t="s">
        <v>635</v>
      </c>
      <c r="P130" s="315" t="s">
        <v>636</v>
      </c>
      <c r="Q130" s="168"/>
      <c r="R130" s="165"/>
      <c r="S130" s="166"/>
      <c r="T130" s="313" t="s">
        <v>623</v>
      </c>
      <c r="U130" s="237" t="s">
        <v>436</v>
      </c>
      <c r="V130" s="255">
        <f>Futterlauberlöse!A32*(1+3%)^23</f>
        <v>18.23593936280982</v>
      </c>
    </row>
    <row r="131" spans="1:22" s="41" customFormat="1" ht="69" customHeight="1" x14ac:dyDescent="0.25">
      <c r="A131" s="343">
        <v>23</v>
      </c>
      <c r="B131" s="60"/>
      <c r="C131" s="60"/>
      <c r="D131" s="60"/>
      <c r="E131" s="63"/>
      <c r="F131" s="64"/>
      <c r="G131" s="170" t="s">
        <v>507</v>
      </c>
      <c r="H131" s="170" t="s">
        <v>638</v>
      </c>
      <c r="I131" s="234">
        <v>2048</v>
      </c>
      <c r="J131" s="164">
        <f>30*20</f>
        <v>600</v>
      </c>
      <c r="K131" s="239">
        <v>1</v>
      </c>
      <c r="L131" s="239">
        <v>1</v>
      </c>
      <c r="M131" s="236">
        <f>J131*K131/60</f>
        <v>10</v>
      </c>
      <c r="N131" s="236">
        <f>J131*L131/60</f>
        <v>10</v>
      </c>
      <c r="O131" s="172" t="s">
        <v>509</v>
      </c>
      <c r="P131" s="237" t="s">
        <v>595</v>
      </c>
      <c r="Q131" s="313" t="s">
        <v>639</v>
      </c>
      <c r="R131" s="317" t="s">
        <v>640</v>
      </c>
      <c r="S131" s="246">
        <f>35*M131</f>
        <v>350</v>
      </c>
      <c r="T131" s="313" t="s">
        <v>637</v>
      </c>
      <c r="U131" s="237" t="s">
        <v>521</v>
      </c>
      <c r="V131" s="255">
        <f>Pappelerlöse!A16</f>
        <v>4361.6261895897951</v>
      </c>
    </row>
    <row r="132" spans="1:22" s="41" customFormat="1" ht="80.25" customHeight="1" thickBot="1" x14ac:dyDescent="0.3">
      <c r="A132" s="343">
        <v>23</v>
      </c>
      <c r="B132" s="60"/>
      <c r="C132" s="60"/>
      <c r="D132" s="60"/>
      <c r="E132" s="63"/>
      <c r="F132" s="64"/>
      <c r="G132" s="170" t="s">
        <v>644</v>
      </c>
      <c r="H132" s="170" t="s">
        <v>645</v>
      </c>
      <c r="I132" s="234">
        <v>2048</v>
      </c>
      <c r="J132" s="169"/>
      <c r="K132" s="239"/>
      <c r="L132" s="239"/>
      <c r="M132" s="236">
        <f>J132*K132/60</f>
        <v>0</v>
      </c>
      <c r="N132" s="236">
        <f>J132*L132/60</f>
        <v>0</v>
      </c>
      <c r="O132" s="168"/>
      <c r="P132" s="102"/>
      <c r="Q132" s="168"/>
      <c r="R132" s="245"/>
      <c r="S132" s="246"/>
      <c r="T132" s="168"/>
      <c r="U132" s="237"/>
      <c r="V132" s="255"/>
    </row>
    <row r="133" spans="1:22" s="94" customFormat="1" ht="36" customHeight="1" thickBot="1" x14ac:dyDescent="0.3">
      <c r="A133" s="122">
        <v>23</v>
      </c>
      <c r="B133" s="138">
        <f>(SUM(M128:M132)*D8)*(1+2%)^23</f>
        <v>801.95840245893817</v>
      </c>
      <c r="C133" s="138">
        <f>(SUM(N128:N132)*D9)*(1+2%)^23</f>
        <v>219.1889977226042</v>
      </c>
      <c r="D133" s="123">
        <f>SUM(S128:S132)</f>
        <v>350</v>
      </c>
      <c r="E133" s="139">
        <f>SUM(B133:D133)</f>
        <v>1371.1474001815423</v>
      </c>
      <c r="F133" s="126">
        <f>SUM(V128:V132)</f>
        <v>4379.8621289526045</v>
      </c>
      <c r="G133" s="108"/>
      <c r="H133" s="83"/>
      <c r="I133" s="84"/>
      <c r="J133" s="85"/>
      <c r="K133" s="131"/>
      <c r="L133" s="87"/>
      <c r="M133" s="131"/>
      <c r="N133" s="87"/>
      <c r="O133" s="88"/>
      <c r="P133" s="89"/>
      <c r="Q133" s="90"/>
      <c r="R133" s="86"/>
      <c r="S133" s="91"/>
      <c r="T133" s="92"/>
      <c r="U133" s="93"/>
      <c r="V133" s="255"/>
    </row>
    <row r="134" spans="1:22" s="41" customFormat="1" ht="54" customHeight="1" x14ac:dyDescent="0.25">
      <c r="A134" s="343">
        <v>24</v>
      </c>
      <c r="B134" s="60"/>
      <c r="C134" s="60"/>
      <c r="D134" s="60"/>
      <c r="E134" s="63"/>
      <c r="F134" s="64"/>
      <c r="G134" s="162" t="s">
        <v>487</v>
      </c>
      <c r="H134" s="78" t="s">
        <v>498</v>
      </c>
      <c r="I134" s="194">
        <v>2049</v>
      </c>
      <c r="J134" s="146">
        <v>15</v>
      </c>
      <c r="K134" s="195">
        <v>1</v>
      </c>
      <c r="L134" s="153"/>
      <c r="M134" s="196">
        <f>J134*K134/60</f>
        <v>0.25</v>
      </c>
      <c r="N134" s="196">
        <f>J134*L134/60</f>
        <v>0</v>
      </c>
      <c r="O134" s="233"/>
      <c r="P134" s="197"/>
      <c r="Q134" s="198"/>
      <c r="R134" s="153"/>
      <c r="S134" s="199"/>
      <c r="T134" s="156"/>
      <c r="U134" s="197" t="s">
        <v>436</v>
      </c>
      <c r="V134" s="256"/>
    </row>
    <row r="135" spans="1:22" s="41" customFormat="1" ht="77.25" customHeight="1" x14ac:dyDescent="0.25">
      <c r="A135" s="343">
        <v>24</v>
      </c>
      <c r="B135" s="60"/>
      <c r="C135" s="60"/>
      <c r="D135" s="60"/>
      <c r="E135" s="63"/>
      <c r="F135" s="64"/>
      <c r="G135" s="162" t="s">
        <v>491</v>
      </c>
      <c r="H135" s="78" t="s">
        <v>499</v>
      </c>
      <c r="I135" s="194">
        <v>2049</v>
      </c>
      <c r="J135" s="146">
        <f>74*8</f>
        <v>592</v>
      </c>
      <c r="K135" s="153">
        <v>1</v>
      </c>
      <c r="L135" s="153"/>
      <c r="M135" s="196">
        <f>J135*K135/60</f>
        <v>9.8666666666666671</v>
      </c>
      <c r="N135" s="196">
        <f>J135*L135/60</f>
        <v>0</v>
      </c>
      <c r="O135" s="155" t="s">
        <v>631</v>
      </c>
      <c r="P135" s="197"/>
      <c r="Q135" s="198" t="s">
        <v>503</v>
      </c>
      <c r="R135" s="153"/>
      <c r="S135" s="199"/>
      <c r="T135" s="156" t="s">
        <v>588</v>
      </c>
      <c r="U135" s="163" t="s">
        <v>502</v>
      </c>
      <c r="V135" s="257"/>
    </row>
    <row r="136" spans="1:22" s="41" customFormat="1" ht="69" customHeight="1" thickBot="1" x14ac:dyDescent="0.3">
      <c r="A136" s="343">
        <v>24</v>
      </c>
      <c r="B136" s="60"/>
      <c r="C136" s="60"/>
      <c r="D136" s="60"/>
      <c r="E136" s="63"/>
      <c r="F136" s="64"/>
      <c r="G136" s="170" t="s">
        <v>632</v>
      </c>
      <c r="H136" s="312" t="s">
        <v>634</v>
      </c>
      <c r="I136" s="234">
        <v>2049</v>
      </c>
      <c r="J136" s="164">
        <f>20*9</f>
        <v>180</v>
      </c>
      <c r="K136" s="235">
        <v>1</v>
      </c>
      <c r="L136" s="235"/>
      <c r="M136" s="236">
        <f>J136*K136/60</f>
        <v>3</v>
      </c>
      <c r="N136" s="236">
        <f>J136*L136/60</f>
        <v>0</v>
      </c>
      <c r="O136" s="313" t="s">
        <v>635</v>
      </c>
      <c r="P136" s="315" t="s">
        <v>636</v>
      </c>
      <c r="Q136" s="168"/>
      <c r="R136" s="165"/>
      <c r="S136" s="166"/>
      <c r="T136" s="313" t="s">
        <v>623</v>
      </c>
      <c r="U136" s="237" t="s">
        <v>436</v>
      </c>
      <c r="V136" s="255">
        <f>Futterlauberlöse!A32*(1+3%)^24</f>
        <v>18.783017543694115</v>
      </c>
    </row>
    <row r="137" spans="1:22" s="94" customFormat="1" ht="36" customHeight="1" thickBot="1" x14ac:dyDescent="0.3">
      <c r="A137" s="122">
        <v>24</v>
      </c>
      <c r="B137" s="138">
        <f>(SUM(M134:M136)*D8)*(1+2%)^24</f>
        <v>464.14137562356746</v>
      </c>
      <c r="C137" s="138">
        <f>(SUM(N134:N136)*D9)*(1+2%)^24</f>
        <v>0</v>
      </c>
      <c r="D137" s="123">
        <f>SUM(S134:S136)</f>
        <v>0</v>
      </c>
      <c r="E137" s="139">
        <f>SUM(B137:D137)</f>
        <v>464.14137562356746</v>
      </c>
      <c r="F137" s="126">
        <f>SUM(V134:V136)</f>
        <v>18.783017543694115</v>
      </c>
      <c r="G137" s="108"/>
      <c r="H137" s="83"/>
      <c r="I137" s="84"/>
      <c r="J137" s="85"/>
      <c r="K137" s="131"/>
      <c r="L137" s="87"/>
      <c r="M137" s="131"/>
      <c r="N137" s="87"/>
      <c r="O137" s="88"/>
      <c r="P137" s="89"/>
      <c r="Q137" s="90"/>
      <c r="R137" s="86"/>
      <c r="S137" s="91"/>
      <c r="T137" s="92"/>
      <c r="U137" s="232"/>
      <c r="V137" s="255"/>
    </row>
    <row r="138" spans="1:22" s="41" customFormat="1" ht="54" customHeight="1" x14ac:dyDescent="0.25">
      <c r="A138" s="343">
        <v>25</v>
      </c>
      <c r="B138" s="60"/>
      <c r="C138" s="60"/>
      <c r="D138" s="60"/>
      <c r="E138" s="63"/>
      <c r="F138" s="64"/>
      <c r="G138" s="162" t="s">
        <v>487</v>
      </c>
      <c r="H138" s="78" t="s">
        <v>498</v>
      </c>
      <c r="I138" s="194">
        <v>2050</v>
      </c>
      <c r="J138" s="146">
        <v>15</v>
      </c>
      <c r="K138" s="195">
        <v>1</v>
      </c>
      <c r="L138" s="153"/>
      <c r="M138" s="196">
        <f>J138*K138/60</f>
        <v>0.25</v>
      </c>
      <c r="N138" s="196">
        <f>J138*L138/60</f>
        <v>0</v>
      </c>
      <c r="O138" s="233"/>
      <c r="P138" s="197"/>
      <c r="Q138" s="198"/>
      <c r="R138" s="153"/>
      <c r="S138" s="199"/>
      <c r="T138" s="156"/>
      <c r="U138" s="197" t="s">
        <v>436</v>
      </c>
      <c r="V138" s="256"/>
    </row>
    <row r="139" spans="1:22" s="41" customFormat="1" ht="69" customHeight="1" x14ac:dyDescent="0.25">
      <c r="A139" s="343">
        <v>25</v>
      </c>
      <c r="B139" s="60"/>
      <c r="C139" s="60"/>
      <c r="D139" s="60"/>
      <c r="E139" s="63"/>
      <c r="F139" s="64"/>
      <c r="G139" s="162" t="s">
        <v>491</v>
      </c>
      <c r="H139" s="78" t="s">
        <v>499</v>
      </c>
      <c r="I139" s="194">
        <v>2050</v>
      </c>
      <c r="J139" s="146">
        <f>54*8</f>
        <v>432</v>
      </c>
      <c r="K139" s="153">
        <v>1</v>
      </c>
      <c r="L139" s="153"/>
      <c r="M139" s="196">
        <f>J139*K139/60</f>
        <v>7.2</v>
      </c>
      <c r="N139" s="196">
        <f>J139*L139/60</f>
        <v>0</v>
      </c>
      <c r="O139" s="155" t="s">
        <v>505</v>
      </c>
      <c r="P139" s="197"/>
      <c r="Q139" s="198" t="s">
        <v>503</v>
      </c>
      <c r="R139" s="153"/>
      <c r="S139" s="199"/>
      <c r="T139" s="156" t="s">
        <v>501</v>
      </c>
      <c r="U139" s="163" t="s">
        <v>502</v>
      </c>
      <c r="V139" s="257"/>
    </row>
    <row r="140" spans="1:22" s="41" customFormat="1" ht="69" customHeight="1" x14ac:dyDescent="0.25">
      <c r="A140" s="343">
        <v>25</v>
      </c>
      <c r="B140" s="60"/>
      <c r="C140" s="60"/>
      <c r="D140" s="60"/>
      <c r="E140" s="63"/>
      <c r="F140" s="64"/>
      <c r="G140" s="170" t="s">
        <v>632</v>
      </c>
      <c r="H140" s="312" t="s">
        <v>634</v>
      </c>
      <c r="I140" s="234">
        <v>2050</v>
      </c>
      <c r="J140" s="164">
        <f>20*9</f>
        <v>180</v>
      </c>
      <c r="K140" s="235">
        <v>1</v>
      </c>
      <c r="L140" s="235"/>
      <c r="M140" s="236">
        <f>J140*K140/60</f>
        <v>3</v>
      </c>
      <c r="N140" s="236">
        <f>J140*L140/60</f>
        <v>0</v>
      </c>
      <c r="O140" s="313" t="s">
        <v>635</v>
      </c>
      <c r="P140" s="315" t="s">
        <v>636</v>
      </c>
      <c r="Q140" s="168"/>
      <c r="R140" s="165"/>
      <c r="S140" s="166"/>
      <c r="T140" s="313" t="s">
        <v>623</v>
      </c>
      <c r="U140" s="237" t="s">
        <v>436</v>
      </c>
      <c r="V140" s="255">
        <f>Futterlauberlöse!A32*(1+3%)^25</f>
        <v>19.346508070004937</v>
      </c>
    </row>
    <row r="141" spans="1:22" s="41" customFormat="1" ht="69" customHeight="1" x14ac:dyDescent="0.25">
      <c r="A141" s="343">
        <v>25</v>
      </c>
      <c r="B141" s="60"/>
      <c r="C141" s="60"/>
      <c r="D141" s="60"/>
      <c r="E141" s="63"/>
      <c r="F141" s="64"/>
      <c r="G141" s="170" t="s">
        <v>507</v>
      </c>
      <c r="H141" s="170" t="s">
        <v>638</v>
      </c>
      <c r="I141" s="234">
        <v>2050</v>
      </c>
      <c r="J141" s="164">
        <f>30*20</f>
        <v>600</v>
      </c>
      <c r="K141" s="239">
        <v>1</v>
      </c>
      <c r="L141" s="239">
        <v>1</v>
      </c>
      <c r="M141" s="236">
        <f>J141*K141/60</f>
        <v>10</v>
      </c>
      <c r="N141" s="236">
        <f>J141*L141/60</f>
        <v>10</v>
      </c>
      <c r="O141" s="172" t="s">
        <v>509</v>
      </c>
      <c r="P141" s="237" t="s">
        <v>595</v>
      </c>
      <c r="Q141" s="313" t="s">
        <v>639</v>
      </c>
      <c r="R141" s="317" t="s">
        <v>640</v>
      </c>
      <c r="S141" s="246">
        <f>35*M141</f>
        <v>350</v>
      </c>
      <c r="T141" s="313" t="s">
        <v>637</v>
      </c>
      <c r="U141" s="237" t="s">
        <v>521</v>
      </c>
      <c r="V141" s="255">
        <f>Pappelerlöse!A11</f>
        <v>5339.1337206182461</v>
      </c>
    </row>
    <row r="142" spans="1:22" s="41" customFormat="1" ht="84.75" customHeight="1" thickBot="1" x14ac:dyDescent="0.3">
      <c r="A142" s="343">
        <v>25</v>
      </c>
      <c r="B142" s="60"/>
      <c r="C142" s="60"/>
      <c r="D142" s="60"/>
      <c r="E142" s="63"/>
      <c r="F142" s="64"/>
      <c r="G142" s="170" t="s">
        <v>644</v>
      </c>
      <c r="H142" s="170" t="s">
        <v>645</v>
      </c>
      <c r="I142" s="234">
        <v>2050</v>
      </c>
      <c r="J142" s="169"/>
      <c r="K142" s="239"/>
      <c r="L142" s="239"/>
      <c r="M142" s="236">
        <f>J142*K142/60</f>
        <v>0</v>
      </c>
      <c r="N142" s="236">
        <f>J142*L142/60</f>
        <v>0</v>
      </c>
      <c r="O142" s="168"/>
      <c r="P142" s="102"/>
      <c r="Q142" s="168"/>
      <c r="R142" s="245"/>
      <c r="S142" s="246"/>
      <c r="T142" s="168"/>
      <c r="U142" s="237"/>
      <c r="V142" s="255"/>
    </row>
    <row r="143" spans="1:22" s="94" customFormat="1" ht="36" customHeight="1" thickBot="1" x14ac:dyDescent="0.3">
      <c r="A143" s="122">
        <v>25</v>
      </c>
      <c r="B143" s="138">
        <f>(SUM(M138:M142)*D8)*(1+2%)^25</f>
        <v>738.10863690968176</v>
      </c>
      <c r="C143" s="138">
        <f>(SUM(N138:N142)*D9)*(1+2%)^25</f>
        <v>228.0442332305974</v>
      </c>
      <c r="D143" s="123">
        <f>SUM(S138:S142)</f>
        <v>350</v>
      </c>
      <c r="E143" s="139">
        <f>SUM(B143:D143)</f>
        <v>1316.1528701402792</v>
      </c>
      <c r="F143" s="126">
        <f>SUM(V138:V142)</f>
        <v>5358.4802286882514</v>
      </c>
      <c r="G143" s="448"/>
      <c r="H143" s="449"/>
      <c r="I143" s="450"/>
      <c r="J143" s="85"/>
      <c r="K143" s="131"/>
      <c r="L143" s="87"/>
      <c r="M143" s="131"/>
      <c r="N143" s="87"/>
      <c r="O143" s="88"/>
      <c r="P143" s="89"/>
      <c r="Q143" s="455"/>
      <c r="R143" s="456"/>
      <c r="S143" s="457"/>
      <c r="T143" s="92"/>
      <c r="U143" s="232"/>
      <c r="V143" s="255"/>
    </row>
    <row r="144" spans="1:22" s="41" customFormat="1" ht="145.5" customHeight="1" x14ac:dyDescent="0.25">
      <c r="A144" s="105"/>
      <c r="B144" s="60"/>
      <c r="C144" s="60"/>
      <c r="D144" s="60"/>
      <c r="E144" s="63"/>
      <c r="F144" s="64"/>
      <c r="G144" s="259" t="s">
        <v>537</v>
      </c>
      <c r="H144" s="188" t="s">
        <v>524</v>
      </c>
      <c r="I144" s="451"/>
      <c r="J144" s="190">
        <f>30*100</f>
        <v>3000</v>
      </c>
      <c r="K144" s="261">
        <v>1</v>
      </c>
      <c r="L144" s="261"/>
      <c r="M144" s="262">
        <f>J144*K144/60</f>
        <v>50</v>
      </c>
      <c r="N144" s="262">
        <f>J144*L144/60</f>
        <v>0</v>
      </c>
      <c r="O144" s="191" t="s">
        <v>525</v>
      </c>
      <c r="P144" s="101"/>
      <c r="Q144" s="458"/>
      <c r="R144" s="261"/>
      <c r="S144" s="459"/>
      <c r="T144" s="266" t="s">
        <v>572</v>
      </c>
      <c r="U144" s="258" t="s">
        <v>436</v>
      </c>
      <c r="V144" s="251"/>
    </row>
    <row r="145" spans="1:22" s="41" customFormat="1" ht="159" customHeight="1" thickBot="1" x14ac:dyDescent="0.3">
      <c r="A145" s="105"/>
      <c r="B145" s="60"/>
      <c r="C145" s="60"/>
      <c r="D145" s="60"/>
      <c r="E145" s="63"/>
      <c r="F145" s="64"/>
      <c r="G145" s="452" t="s">
        <v>536</v>
      </c>
      <c r="H145" s="453" t="s">
        <v>508</v>
      </c>
      <c r="I145" s="454"/>
      <c r="J145" s="463"/>
      <c r="K145" s="464"/>
      <c r="L145" s="465"/>
      <c r="M145" s="466"/>
      <c r="N145" s="466"/>
      <c r="O145" s="467"/>
      <c r="P145" s="468"/>
      <c r="Q145" s="460"/>
      <c r="R145" s="461" t="s">
        <v>425</v>
      </c>
      <c r="S145" s="462"/>
      <c r="T145" s="469" t="s">
        <v>535</v>
      </c>
      <c r="U145" s="470" t="s">
        <v>522</v>
      </c>
      <c r="V145" s="471"/>
    </row>
  </sheetData>
  <mergeCells count="5">
    <mergeCell ref="J10:O10"/>
    <mergeCell ref="Q10:S10"/>
    <mergeCell ref="E8:E9"/>
    <mergeCell ref="B8:C8"/>
    <mergeCell ref="B9:C9"/>
  </mergeCells>
  <hyperlinks>
    <hyperlink ref="U119" r:id="rId1" xr:uid="{2EC347D9-9C10-4080-B14E-7B9BC69D49B7}"/>
    <hyperlink ref="U125" r:id="rId2" xr:uid="{B20A09E4-F556-4F69-9270-1CE977AB456E}"/>
    <hyperlink ref="U129" r:id="rId3" xr:uid="{E4C62618-708F-4720-9CAE-93541F8B78CB}"/>
    <hyperlink ref="U135" r:id="rId4" xr:uid="{4FDE04A3-9BFC-46D6-A106-8C82E046FDE2}"/>
    <hyperlink ref="U139" r:id="rId5" xr:uid="{15CA53F3-A860-4359-9C70-3106E71CAB73}"/>
    <hyperlink ref="U71" r:id="rId6" xr:uid="{0BC55ECC-B843-4162-9079-734714425A05}"/>
    <hyperlink ref="U75" r:id="rId7" xr:uid="{ABFF1E02-EC1C-4437-BAD9-D5901529339B}"/>
    <hyperlink ref="U79" r:id="rId8" xr:uid="{0FCD75EA-6CDB-4519-878C-BF088CBF68DC}"/>
    <hyperlink ref="U83" r:id="rId9" xr:uid="{ADECC74D-CECB-483C-B940-45D6ACBF16AB}"/>
    <hyperlink ref="U87" r:id="rId10" xr:uid="{057CFC65-E513-425A-B6C8-0B43D92CA12A}"/>
    <hyperlink ref="U91" r:id="rId11" xr:uid="{DA8F1D89-5A63-44BC-AE9E-E3E723CA1938}"/>
    <hyperlink ref="U95" r:id="rId12" xr:uid="{5A31D4EF-7C44-48B6-8C03-54C1F93EC9E5}"/>
    <hyperlink ref="U99" r:id="rId13" xr:uid="{29192328-1A3F-498E-B82B-858698BB4D40}"/>
    <hyperlink ref="U103" r:id="rId14" xr:uid="{08D83E3D-0570-4B4B-940C-D26C3DEB4092}"/>
    <hyperlink ref="U107" r:id="rId15" xr:uid="{8791C264-16F3-44F4-8C89-35AED758B2DE}"/>
    <hyperlink ref="U111" r:id="rId16" xr:uid="{A77BAB6F-244E-49BE-A4C0-EDFDB9DEA1B4}"/>
    <hyperlink ref="U115" r:id="rId17" xr:uid="{3F9291C8-5981-4258-BC3A-A149D6DF8DD7}"/>
    <hyperlink ref="H145" r:id="rId18" xr:uid="{28CEA01E-635A-40CC-BE2C-AE569AAB6741}"/>
    <hyperlink ref="O131" r:id="rId19" xr:uid="{EBE03082-B8EB-42E4-8097-02BAEDC21D26}"/>
    <hyperlink ref="O121" r:id="rId20" xr:uid="{E86F0902-3ED7-4763-AF7D-2E795EB65AAC}"/>
    <hyperlink ref="O141" r:id="rId21" xr:uid="{B24ED42D-FA6B-4034-AC7D-CAC6534B5705}"/>
  </hyperlinks>
  <pageMargins left="0.7" right="0.7" top="0.78740157499999996" bottom="0.78740157499999996" header="0.3" footer="0.3"/>
  <pageSetup paperSize="9" orientation="portrait" r:id="rId22"/>
  <legacy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1DDB8-72B1-49DA-981E-AC8603C97F9F}">
  <dimension ref="A1:AB48"/>
  <sheetViews>
    <sheetView workbookViewId="0">
      <selection activeCell="H28" sqref="H28"/>
    </sheetView>
  </sheetViews>
  <sheetFormatPr baseColWidth="10" defaultRowHeight="15.75" x14ac:dyDescent="0.25"/>
  <cols>
    <col min="1" max="1" width="12.375" customWidth="1"/>
    <col min="3" max="3" width="13" customWidth="1"/>
    <col min="4" max="4" width="14.25" customWidth="1"/>
    <col min="5" max="5" width="17.25" customWidth="1"/>
    <col min="6" max="6" width="14.375" customWidth="1"/>
    <col min="7" max="7" width="14.625" customWidth="1"/>
    <col min="11" max="11" width="17.25" customWidth="1"/>
  </cols>
  <sheetData>
    <row r="1" spans="1:28" s="183" customFormat="1" ht="21" x14ac:dyDescent="0.3">
      <c r="A1" s="304" t="s">
        <v>641</v>
      </c>
      <c r="B1" s="181"/>
      <c r="C1" s="181"/>
      <c r="D1" s="182"/>
      <c r="E1" s="182"/>
      <c r="F1" s="180"/>
      <c r="G1" s="180"/>
    </row>
    <row r="2" spans="1:28" s="186" customFormat="1" ht="18.75" x14ac:dyDescent="0.3">
      <c r="A2" s="180"/>
      <c r="B2" s="184"/>
      <c r="C2" s="185"/>
      <c r="D2" s="185"/>
      <c r="E2" s="185"/>
      <c r="F2" s="180"/>
      <c r="G2" s="180"/>
    </row>
    <row r="3" spans="1:28" ht="29.25" customHeight="1" x14ac:dyDescent="0.25">
      <c r="A3" s="410" t="s">
        <v>591</v>
      </c>
      <c r="B3" s="510" t="s">
        <v>699</v>
      </c>
      <c r="C3" s="511"/>
      <c r="D3" s="511"/>
      <c r="E3" s="511"/>
      <c r="F3" s="511"/>
      <c r="G3" s="511"/>
      <c r="H3" s="511"/>
      <c r="I3" s="511"/>
      <c r="J3" s="511"/>
      <c r="K3" s="512"/>
    </row>
    <row r="4" spans="1:28" x14ac:dyDescent="0.25">
      <c r="A4" s="408" t="s">
        <v>590</v>
      </c>
      <c r="B4" s="510" t="s">
        <v>700</v>
      </c>
      <c r="C4" s="511"/>
      <c r="D4" s="511"/>
      <c r="E4" s="511"/>
      <c r="F4" s="511"/>
      <c r="G4" s="511"/>
      <c r="H4" s="511"/>
      <c r="I4" s="511"/>
      <c r="J4" s="511"/>
      <c r="K4" s="512"/>
    </row>
    <row r="5" spans="1:28" ht="17.25" customHeight="1" x14ac:dyDescent="0.25">
      <c r="A5" s="406"/>
      <c r="B5" s="513" t="s">
        <v>701</v>
      </c>
      <c r="C5" s="514"/>
      <c r="D5" s="514"/>
      <c r="E5" s="514"/>
      <c r="F5" s="514"/>
      <c r="G5" s="514"/>
      <c r="H5" s="514"/>
      <c r="I5" s="514"/>
      <c r="J5" s="514"/>
      <c r="K5" s="515"/>
    </row>
    <row r="6" spans="1:28" ht="32.25" customHeight="1" x14ac:dyDescent="0.25">
      <c r="A6" s="406"/>
      <c r="B6" s="513" t="s">
        <v>702</v>
      </c>
      <c r="C6" s="514"/>
      <c r="D6" s="514"/>
      <c r="E6" s="514"/>
      <c r="F6" s="514"/>
      <c r="G6" s="514"/>
      <c r="H6" s="514"/>
      <c r="I6" s="514"/>
      <c r="J6" s="514"/>
      <c r="K6" s="515"/>
    </row>
    <row r="7" spans="1:28" x14ac:dyDescent="0.25">
      <c r="A7" s="482"/>
      <c r="B7" s="513" t="s">
        <v>660</v>
      </c>
      <c r="C7" s="514"/>
      <c r="D7" s="514"/>
      <c r="E7" s="514"/>
      <c r="F7" s="514"/>
      <c r="G7" s="514"/>
      <c r="H7" s="514"/>
      <c r="I7" s="514"/>
      <c r="J7" s="514"/>
      <c r="K7" s="515"/>
    </row>
    <row r="8" spans="1:28" x14ac:dyDescent="0.25">
      <c r="A8" s="407"/>
      <c r="B8" s="507" t="s">
        <v>708</v>
      </c>
      <c r="C8" s="508"/>
      <c r="D8" s="508"/>
      <c r="E8" s="508"/>
      <c r="F8" s="508"/>
      <c r="G8" s="508"/>
      <c r="H8" s="508"/>
      <c r="I8" s="508"/>
      <c r="J8" s="508"/>
      <c r="K8" s="509"/>
    </row>
    <row r="9" spans="1:28" ht="16.5" thickBot="1" x14ac:dyDescent="0.3">
      <c r="B9" s="29"/>
      <c r="C9" s="31"/>
      <c r="D9" s="280"/>
      <c r="E9" s="280"/>
      <c r="F9" s="281"/>
      <c r="I9" s="492"/>
      <c r="J9" s="493"/>
      <c r="K9" s="493"/>
      <c r="L9" s="493"/>
    </row>
    <row r="10" spans="1:28" ht="16.5" thickBot="1" x14ac:dyDescent="0.3">
      <c r="D10" s="281"/>
      <c r="E10" s="282" t="s">
        <v>392</v>
      </c>
      <c r="F10" s="283">
        <f>4%</f>
        <v>0.04</v>
      </c>
    </row>
    <row r="11" spans="1:28" x14ac:dyDescent="0.25">
      <c r="D11" s="281"/>
      <c r="E11" s="284" t="s">
        <v>523</v>
      </c>
      <c r="F11" s="285">
        <v>25</v>
      </c>
    </row>
    <row r="12" spans="1:28" ht="16.5" thickBot="1" x14ac:dyDescent="0.3">
      <c r="F12" s="492"/>
      <c r="G12" s="492"/>
      <c r="I12" s="483" t="s">
        <v>703</v>
      </c>
      <c r="J12" s="484"/>
      <c r="K12" s="484"/>
      <c r="L12" s="484"/>
      <c r="M12" s="485"/>
      <c r="N12" s="486"/>
    </row>
    <row r="13" spans="1:28" s="34" customFormat="1" ht="78.75" customHeight="1" x14ac:dyDescent="0.25">
      <c r="B13" s="387" t="s">
        <v>389</v>
      </c>
      <c r="C13" s="388" t="s">
        <v>544</v>
      </c>
      <c r="D13" s="388" t="s">
        <v>545</v>
      </c>
      <c r="E13" s="388" t="s">
        <v>546</v>
      </c>
      <c r="F13" s="388" t="s">
        <v>390</v>
      </c>
      <c r="G13" s="389" t="s">
        <v>547</v>
      </c>
      <c r="H13"/>
      <c r="I13" s="494" t="s">
        <v>704</v>
      </c>
      <c r="J13" s="495"/>
      <c r="K13" s="495"/>
      <c r="L13" s="496"/>
      <c r="M13" s="496"/>
      <c r="N13" s="497"/>
      <c r="O13"/>
      <c r="P13"/>
      <c r="Q13"/>
      <c r="R13"/>
      <c r="S13"/>
      <c r="T13"/>
      <c r="U13"/>
      <c r="V13"/>
      <c r="W13"/>
      <c r="X13"/>
      <c r="Y13"/>
      <c r="Z13"/>
      <c r="AA13"/>
      <c r="AB13"/>
    </row>
    <row r="14" spans="1:28" x14ac:dyDescent="0.25">
      <c r="B14" s="390">
        <v>0</v>
      </c>
      <c r="C14" s="274">
        <f>'Windschutzstreifen (mit Knick)'!F31</f>
        <v>0</v>
      </c>
      <c r="D14" s="274">
        <f>'Windschutzstreifen (mit Knick)'!E31</f>
        <v>1308.8504481792722</v>
      </c>
      <c r="E14" s="274">
        <f>C14-D14</f>
        <v>-1308.8504481792722</v>
      </c>
      <c r="F14" s="275">
        <f>1/(1+$F$10)^B14</f>
        <v>1</v>
      </c>
      <c r="G14" s="391">
        <f>E14*F14</f>
        <v>-1308.8504481792722</v>
      </c>
      <c r="I14" s="498"/>
      <c r="J14" s="499"/>
      <c r="K14" s="499"/>
      <c r="L14" s="499"/>
      <c r="M14" s="499"/>
      <c r="N14" s="500"/>
    </row>
    <row r="15" spans="1:28" x14ac:dyDescent="0.25">
      <c r="B15" s="392">
        <v>1</v>
      </c>
      <c r="C15" s="276">
        <f>'Windschutzstreifen (mit Knick)'!F51</f>
        <v>0</v>
      </c>
      <c r="D15" s="276">
        <f>'Windschutzstreifen (mit Knick)'!E51</f>
        <v>2561.4896666666664</v>
      </c>
      <c r="E15" s="276">
        <f t="shared" ref="E15:E39" si="0">C15-D15</f>
        <v>-2561.4896666666664</v>
      </c>
      <c r="F15" s="277">
        <f t="shared" ref="F15:F39" si="1">1/(1+$F$10)^B15</f>
        <v>0.96153846153846145</v>
      </c>
      <c r="G15" s="393">
        <f t="shared" ref="G15:G39" si="2">E15*F15</f>
        <v>-2462.9708333333328</v>
      </c>
      <c r="I15" s="498"/>
      <c r="J15" s="499"/>
      <c r="K15" s="499"/>
      <c r="L15" s="499"/>
      <c r="M15" s="499"/>
      <c r="N15" s="500"/>
    </row>
    <row r="16" spans="1:28" x14ac:dyDescent="0.25">
      <c r="B16" s="390">
        <v>2</v>
      </c>
      <c r="C16" s="274">
        <f>'Windschutzstreifen (mit Knick)'!F56</f>
        <v>0</v>
      </c>
      <c r="D16" s="274">
        <f>'Windschutzstreifen (mit Knick)'!E56</f>
        <v>215.92354</v>
      </c>
      <c r="E16" s="274">
        <f t="shared" si="0"/>
        <v>-215.92354</v>
      </c>
      <c r="F16" s="275">
        <f t="shared" si="1"/>
        <v>0.92455621301775137</v>
      </c>
      <c r="G16" s="391">
        <f t="shared" si="2"/>
        <v>-199.63345044378696</v>
      </c>
      <c r="I16" s="498"/>
      <c r="J16" s="499"/>
      <c r="K16" s="499"/>
      <c r="L16" s="499"/>
      <c r="M16" s="499"/>
      <c r="N16" s="500"/>
    </row>
    <row r="17" spans="2:14" x14ac:dyDescent="0.25">
      <c r="B17" s="392">
        <v>3</v>
      </c>
      <c r="C17" s="276">
        <f>'Windschutzstreifen (mit Knick)'!F59</f>
        <v>0</v>
      </c>
      <c r="D17" s="276">
        <f>'Windschutzstreifen (mit Knick)'!E59</f>
        <v>96.499180799999991</v>
      </c>
      <c r="E17" s="276">
        <f t="shared" si="0"/>
        <v>-96.499180799999991</v>
      </c>
      <c r="F17" s="277">
        <f t="shared" si="1"/>
        <v>0.88899635867091487</v>
      </c>
      <c r="G17" s="393">
        <f t="shared" si="2"/>
        <v>-85.78742034592625</v>
      </c>
      <c r="I17" s="498"/>
      <c r="J17" s="499"/>
      <c r="K17" s="499"/>
      <c r="L17" s="499"/>
      <c r="M17" s="499"/>
      <c r="N17" s="500"/>
    </row>
    <row r="18" spans="2:14" x14ac:dyDescent="0.25">
      <c r="B18" s="394">
        <v>4</v>
      </c>
      <c r="C18" s="278">
        <f>'Windschutzstreifen (mit Knick)'!F64</f>
        <v>7.2797909830799998</v>
      </c>
      <c r="D18" s="278">
        <f>'Windschutzstreifen (mit Knick)'!E64</f>
        <v>194.946032016</v>
      </c>
      <c r="E18" s="278">
        <f t="shared" si="0"/>
        <v>-187.66624103292</v>
      </c>
      <c r="F18" s="279">
        <f t="shared" si="1"/>
        <v>0.85480419102972571</v>
      </c>
      <c r="G18" s="395">
        <f t="shared" si="2"/>
        <v>-160.41788934973471</v>
      </c>
      <c r="I18" s="498"/>
      <c r="J18" s="499"/>
      <c r="K18" s="499"/>
      <c r="L18" s="499"/>
      <c r="M18" s="499"/>
      <c r="N18" s="500"/>
    </row>
    <row r="19" spans="2:14" x14ac:dyDescent="0.25">
      <c r="B19" s="392">
        <v>5</v>
      </c>
      <c r="C19" s="276">
        <f>'Windschutzstreifen (mit Knick)'!F68</f>
        <v>7.4981847125723986</v>
      </c>
      <c r="D19" s="276">
        <f>'Windschutzstreifen (mit Knick)'!E68</f>
        <v>169.21878443712001</v>
      </c>
      <c r="E19" s="276">
        <f t="shared" si="0"/>
        <v>-161.72059972454761</v>
      </c>
      <c r="F19" s="277">
        <f t="shared" si="1"/>
        <v>0.82192710675935154</v>
      </c>
      <c r="G19" s="393">
        <f t="shared" si="2"/>
        <v>-132.9225446349846</v>
      </c>
      <c r="I19" s="498"/>
      <c r="J19" s="499"/>
      <c r="K19" s="499"/>
      <c r="L19" s="499"/>
      <c r="M19" s="499"/>
      <c r="N19" s="500"/>
    </row>
    <row r="20" spans="2:14" x14ac:dyDescent="0.25">
      <c r="B20" s="394">
        <v>6</v>
      </c>
      <c r="C20" s="278">
        <f>'Windschutzstreifen (mit Knick)'!F72</f>
        <v>7.723130253949571</v>
      </c>
      <c r="D20" s="278">
        <f>'Windschutzstreifen (mit Knick)'!E72</f>
        <v>172.60316012586242</v>
      </c>
      <c r="E20" s="278">
        <f t="shared" si="0"/>
        <v>-164.88002987191285</v>
      </c>
      <c r="F20" s="279">
        <f t="shared" si="1"/>
        <v>0.79031452573014571</v>
      </c>
      <c r="G20" s="395">
        <f t="shared" si="2"/>
        <v>-130.30708261059306</v>
      </c>
      <c r="I20" s="498"/>
      <c r="J20" s="499"/>
      <c r="K20" s="499"/>
      <c r="L20" s="499"/>
      <c r="M20" s="499"/>
      <c r="N20" s="500"/>
    </row>
    <row r="21" spans="2:14" x14ac:dyDescent="0.25">
      <c r="B21" s="392">
        <v>7</v>
      </c>
      <c r="C21" s="276">
        <f>'Windschutzstreifen (mit Knick)'!F76</f>
        <v>11.364034516525798</v>
      </c>
      <c r="D21" s="276">
        <f>'Windschutzstreifen (mit Knick)'!E76</f>
        <v>169.73745215630859</v>
      </c>
      <c r="E21" s="276">
        <f t="shared" si="0"/>
        <v>-158.37341763978279</v>
      </c>
      <c r="F21" s="277">
        <f t="shared" si="1"/>
        <v>0.75991781320206331</v>
      </c>
      <c r="G21" s="393">
        <f t="shared" si="2"/>
        <v>-120.35078120216082</v>
      </c>
      <c r="I21" s="487"/>
      <c r="J21" s="488"/>
      <c r="K21" s="488"/>
      <c r="L21" s="488"/>
      <c r="M21" s="489"/>
      <c r="N21" s="490"/>
    </row>
    <row r="22" spans="2:14" x14ac:dyDescent="0.25">
      <c r="B22" s="394">
        <v>8</v>
      </c>
      <c r="C22" s="278">
        <f>'Windschutzstreifen (mit Knick)'!F80</f>
        <v>11.704955552021572</v>
      </c>
      <c r="D22" s="278">
        <f>'Windschutzstreifen (mit Knick)'!E80</f>
        <v>173.13220119943477</v>
      </c>
      <c r="E22" s="278">
        <f t="shared" si="0"/>
        <v>-161.4272456474132</v>
      </c>
      <c r="F22" s="279">
        <f t="shared" si="1"/>
        <v>0.73069020500198378</v>
      </c>
      <c r="G22" s="395">
        <f t="shared" si="2"/>
        <v>-117.95330721501395</v>
      </c>
      <c r="I22" s="494" t="s">
        <v>705</v>
      </c>
      <c r="J22" s="495"/>
      <c r="K22" s="495"/>
      <c r="L22" s="499"/>
      <c r="M22" s="499"/>
      <c r="N22" s="500"/>
    </row>
    <row r="23" spans="2:14" x14ac:dyDescent="0.25">
      <c r="B23" s="392">
        <v>9</v>
      </c>
      <c r="C23" s="276">
        <f>'Windschutzstreifen (mit Knick)'!F84</f>
        <v>11.704955552021572</v>
      </c>
      <c r="D23" s="276">
        <f>'Windschutzstreifen (mit Knick)'!E84</f>
        <v>222.16770850688755</v>
      </c>
      <c r="E23" s="276">
        <f t="shared" si="0"/>
        <v>-210.46275295486598</v>
      </c>
      <c r="F23" s="277">
        <f t="shared" si="1"/>
        <v>0.70258673557883045</v>
      </c>
      <c r="G23" s="393">
        <f t="shared" si="2"/>
        <v>-147.86833855949314</v>
      </c>
      <c r="I23" s="498"/>
      <c r="J23" s="499"/>
      <c r="K23" s="499"/>
      <c r="L23" s="499"/>
      <c r="M23" s="499"/>
      <c r="N23" s="500"/>
    </row>
    <row r="24" spans="2:14" x14ac:dyDescent="0.25">
      <c r="B24" s="394">
        <v>10</v>
      </c>
      <c r="C24" s="278">
        <f>'Windschutzstreifen (mit Knick)'!F88</f>
        <v>12.417787345139686</v>
      </c>
      <c r="D24" s="278">
        <f>'Windschutzstreifen (mit Knick)'!E88</f>
        <v>226.61106267702533</v>
      </c>
      <c r="E24" s="278">
        <f t="shared" si="0"/>
        <v>-214.19327533188564</v>
      </c>
      <c r="F24" s="279">
        <f t="shared" si="1"/>
        <v>0.67556416882579851</v>
      </c>
      <c r="G24" s="395">
        <f t="shared" si="2"/>
        <v>-144.70130201766074</v>
      </c>
      <c r="I24" s="498"/>
      <c r="J24" s="499"/>
      <c r="K24" s="499"/>
      <c r="L24" s="499"/>
      <c r="M24" s="499"/>
      <c r="N24" s="500"/>
    </row>
    <row r="25" spans="2:14" x14ac:dyDescent="0.25">
      <c r="B25" s="392">
        <v>11</v>
      </c>
      <c r="C25" s="276">
        <f>'Windschutzstreifen (mit Knick)'!F92</f>
        <v>12.790320965493876</v>
      </c>
      <c r="D25" s="276">
        <f>'Windschutzstreifen (mit Knick)'!E92</f>
        <v>278.55729089068188</v>
      </c>
      <c r="E25" s="276">
        <f t="shared" si="0"/>
        <v>-265.76696992518799</v>
      </c>
      <c r="F25" s="277">
        <f t="shared" si="1"/>
        <v>0.6495809315632679</v>
      </c>
      <c r="G25" s="393">
        <f t="shared" si="2"/>
        <v>-172.63715590275064</v>
      </c>
      <c r="I25" s="487"/>
      <c r="J25" s="488"/>
      <c r="K25" s="488"/>
      <c r="L25" s="488"/>
      <c r="M25" s="489"/>
      <c r="N25" s="490"/>
    </row>
    <row r="26" spans="2:14" x14ac:dyDescent="0.25">
      <c r="B26" s="394">
        <v>12</v>
      </c>
      <c r="C26" s="278">
        <f>'Windschutzstreifen (mit Knick)'!F96</f>
        <v>13.17403059445869</v>
      </c>
      <c r="D26" s="278">
        <f>'Windschutzstreifen (mit Knick)'!E96</f>
        <v>284.12843670849554</v>
      </c>
      <c r="E26" s="278">
        <f t="shared" si="0"/>
        <v>-270.95440611403683</v>
      </c>
      <c r="F26" s="279">
        <f t="shared" si="1"/>
        <v>0.62459704958006512</v>
      </c>
      <c r="G26" s="395">
        <f t="shared" si="2"/>
        <v>-169.23732262954616</v>
      </c>
      <c r="I26" s="501" t="s">
        <v>706</v>
      </c>
      <c r="J26" s="502"/>
      <c r="K26" s="502"/>
      <c r="L26" s="502"/>
      <c r="M26" s="499"/>
      <c r="N26" s="500"/>
    </row>
    <row r="27" spans="2:14" x14ac:dyDescent="0.25">
      <c r="B27" s="392">
        <v>13</v>
      </c>
      <c r="C27" s="276">
        <f>'Windschutzstreifen (mit Knick)'!F100</f>
        <v>13.569251512292452</v>
      </c>
      <c r="D27" s="276">
        <f>'Windschutzstreifen (mit Knick)'!E100</f>
        <v>339.14053828397016</v>
      </c>
      <c r="E27" s="276">
        <f t="shared" si="0"/>
        <v>-325.57128677167771</v>
      </c>
      <c r="F27" s="277">
        <f t="shared" si="1"/>
        <v>0.600574086134678</v>
      </c>
      <c r="G27" s="393">
        <f t="shared" si="2"/>
        <v>-195.5296780245915</v>
      </c>
      <c r="I27" s="498"/>
      <c r="J27" s="499"/>
      <c r="K27" s="499"/>
      <c r="L27" s="499"/>
      <c r="M27" s="499"/>
      <c r="N27" s="500"/>
    </row>
    <row r="28" spans="2:14" x14ac:dyDescent="0.25">
      <c r="B28" s="394">
        <v>14</v>
      </c>
      <c r="C28" s="278">
        <f>'Windschutzstreifen (mit Knick)'!F104</f>
        <v>13.976329057661227</v>
      </c>
      <c r="D28" s="278">
        <f>'Windschutzstreifen (mit Knick)'!E104</f>
        <v>345.92334904964957</v>
      </c>
      <c r="E28" s="278">
        <f t="shared" si="0"/>
        <v>-331.94701999198833</v>
      </c>
      <c r="F28" s="279">
        <f t="shared" si="1"/>
        <v>0.57747508282180582</v>
      </c>
      <c r="G28" s="395">
        <f t="shared" si="2"/>
        <v>-191.69113286232511</v>
      </c>
      <c r="I28" s="498"/>
      <c r="J28" s="499"/>
      <c r="K28" s="499"/>
      <c r="L28" s="499"/>
      <c r="M28" s="499"/>
      <c r="N28" s="500"/>
    </row>
    <row r="29" spans="2:14" x14ac:dyDescent="0.25">
      <c r="B29" s="392">
        <v>15</v>
      </c>
      <c r="C29" s="276">
        <f>'Windschutzstreifen (mit Knick)'!F108</f>
        <v>14.395618929391064</v>
      </c>
      <c r="D29" s="276">
        <f>'Windschutzstreifen (mit Knick)'!E108</f>
        <v>404.16426199873604</v>
      </c>
      <c r="E29" s="276">
        <f t="shared" si="0"/>
        <v>-389.76864306934499</v>
      </c>
      <c r="F29" s="277">
        <f t="shared" si="1"/>
        <v>0.55526450271327477</v>
      </c>
      <c r="G29" s="393">
        <f t="shared" si="2"/>
        <v>-216.42469176712774</v>
      </c>
      <c r="I29" s="487"/>
      <c r="J29" s="488"/>
      <c r="K29" s="488"/>
      <c r="L29" s="488"/>
      <c r="M29" s="489"/>
      <c r="N29" s="490"/>
    </row>
    <row r="30" spans="2:14" x14ac:dyDescent="0.25">
      <c r="B30" s="394">
        <v>16</v>
      </c>
      <c r="C30" s="278">
        <f>'Windschutzstreifen (mit Knick)'!F112</f>
        <v>14.827487497272793</v>
      </c>
      <c r="D30" s="278">
        <f>'Windschutzstreifen (mit Knick)'!E112</f>
        <v>412.24754723871081</v>
      </c>
      <c r="E30" s="278">
        <f t="shared" si="0"/>
        <v>-397.42005974143802</v>
      </c>
      <c r="F30" s="279">
        <f t="shared" si="1"/>
        <v>0.53390817568584104</v>
      </c>
      <c r="G30" s="395">
        <f t="shared" si="2"/>
        <v>-212.18581907750914</v>
      </c>
      <c r="I30" s="501" t="s">
        <v>707</v>
      </c>
      <c r="J30" s="502"/>
      <c r="K30" s="502"/>
      <c r="L30" s="502"/>
      <c r="M30" s="502"/>
      <c r="N30" s="503"/>
    </row>
    <row r="31" spans="2:14" x14ac:dyDescent="0.25">
      <c r="B31" s="392">
        <v>17</v>
      </c>
      <c r="C31" s="276">
        <f>'Windschutzstreifen (mit Knick)'!F116</f>
        <v>15.272312122190977</v>
      </c>
      <c r="D31" s="276">
        <f>'Windschutzstreifen (mit Knick)'!E116</f>
        <v>473.88837096868951</v>
      </c>
      <c r="E31" s="276">
        <f t="shared" si="0"/>
        <v>-458.61605884649856</v>
      </c>
      <c r="F31" s="277">
        <f t="shared" si="1"/>
        <v>0.51337324585177024</v>
      </c>
      <c r="G31" s="393">
        <f t="shared" si="2"/>
        <v>-235.44121472977344</v>
      </c>
      <c r="I31" s="501"/>
      <c r="J31" s="502"/>
      <c r="K31" s="502"/>
      <c r="L31" s="502"/>
      <c r="M31" s="502"/>
      <c r="N31" s="503"/>
    </row>
    <row r="32" spans="2:14" x14ac:dyDescent="0.25">
      <c r="B32" s="394">
        <v>18</v>
      </c>
      <c r="C32" s="278">
        <f>'Windschutzstreifen (mit Knick)'!F120</f>
        <v>15.730481485856707</v>
      </c>
      <c r="D32" s="278">
        <f>'Windschutzstreifen (mit Knick)'!E120</f>
        <v>483.36613838806323</v>
      </c>
      <c r="E32" s="278">
        <f t="shared" si="0"/>
        <v>-467.63565690220651</v>
      </c>
      <c r="F32" s="279">
        <f t="shared" si="1"/>
        <v>0.49362812101131748</v>
      </c>
      <c r="G32" s="395">
        <f t="shared" si="2"/>
        <v>-230.83811063452933</v>
      </c>
      <c r="I32" s="501"/>
      <c r="J32" s="502"/>
      <c r="K32" s="502"/>
      <c r="L32" s="502"/>
      <c r="M32" s="502"/>
      <c r="N32" s="503"/>
    </row>
    <row r="33" spans="2:14" x14ac:dyDescent="0.25">
      <c r="B33" s="392">
        <v>19</v>
      </c>
      <c r="C33" s="276">
        <f>'Windschutzstreifen (mit Knick)'!F124</f>
        <v>16.202395930432406</v>
      </c>
      <c r="D33" s="276">
        <f>'Windschutzstreifen (mit Knick)'!E124</f>
        <v>548.58652720155112</v>
      </c>
      <c r="E33" s="276">
        <f t="shared" si="0"/>
        <v>-532.38413127111869</v>
      </c>
      <c r="F33" s="277">
        <f t="shared" si="1"/>
        <v>0.47464242404934376</v>
      </c>
      <c r="G33" s="393">
        <f t="shared" si="2"/>
        <v>-252.6920945919278</v>
      </c>
      <c r="I33" s="504"/>
      <c r="J33" s="505"/>
      <c r="K33" s="505"/>
      <c r="L33" s="505"/>
      <c r="M33" s="505"/>
      <c r="N33" s="506"/>
    </row>
    <row r="34" spans="2:14" x14ac:dyDescent="0.25">
      <c r="B34" s="394">
        <v>20</v>
      </c>
      <c r="C34" s="278">
        <f>'Windschutzstreifen (mit Knick)'!F128</f>
        <v>16.688467808345379</v>
      </c>
      <c r="D34" s="278">
        <f>'Windschutzstreifen (mit Knick)'!E128</f>
        <v>559.5582577455823</v>
      </c>
      <c r="E34" s="278">
        <f t="shared" si="0"/>
        <v>-542.86978993723687</v>
      </c>
      <c r="F34" s="279">
        <f t="shared" si="1"/>
        <v>0.45638694620129205</v>
      </c>
      <c r="G34" s="395">
        <f t="shared" si="2"/>
        <v>-247.75868561439245</v>
      </c>
    </row>
    <row r="35" spans="2:14" x14ac:dyDescent="0.25">
      <c r="B35" s="392">
        <v>21</v>
      </c>
      <c r="C35" s="276">
        <f>'Windschutzstreifen (mit Knick)'!F134</f>
        <v>3337.8149323440452</v>
      </c>
      <c r="D35" s="276">
        <f>'Windschutzstreifen (mit Knick)'!E134</f>
        <v>1464.8736403598477</v>
      </c>
      <c r="E35" s="276">
        <f t="shared" si="0"/>
        <v>1872.9412919841975</v>
      </c>
      <c r="F35" s="277">
        <f t="shared" si="1"/>
        <v>0.43883360211662686</v>
      </c>
      <c r="G35" s="393">
        <f t="shared" si="2"/>
        <v>821.90957371439436</v>
      </c>
    </row>
    <row r="36" spans="2:14" x14ac:dyDescent="0.25">
      <c r="B36" s="394">
        <v>22</v>
      </c>
      <c r="C36" s="278">
        <f>'Windschutzstreifen (mit Knick)'!F138</f>
        <v>17.704795497873612</v>
      </c>
      <c r="D36" s="278">
        <f>'Windschutzstreifen (mit Knick)'!E138</f>
        <v>582.1644113585038</v>
      </c>
      <c r="E36" s="278">
        <f t="shared" si="0"/>
        <v>-564.45961586063015</v>
      </c>
      <c r="F36" s="279">
        <f t="shared" si="1"/>
        <v>0.42195538665060278</v>
      </c>
      <c r="G36" s="395">
        <f t="shared" si="2"/>
        <v>-238.17677545912292</v>
      </c>
    </row>
    <row r="37" spans="2:14" x14ac:dyDescent="0.25">
      <c r="B37" s="392">
        <v>23</v>
      </c>
      <c r="C37" s="276">
        <f>'Windschutzstreifen (mit Knick)'!F144</f>
        <v>4379.8621289526045</v>
      </c>
      <c r="D37" s="276">
        <f>'Windschutzstreifen (mit Knick)'!E144</f>
        <v>1371.1474001815423</v>
      </c>
      <c r="E37" s="276">
        <f t="shared" si="0"/>
        <v>3008.7147287710623</v>
      </c>
      <c r="F37" s="277">
        <f t="shared" si="1"/>
        <v>0.40572633331788732</v>
      </c>
      <c r="G37" s="393">
        <f t="shared" si="2"/>
        <v>1220.7147949038049</v>
      </c>
    </row>
    <row r="38" spans="2:14" x14ac:dyDescent="0.25">
      <c r="B38" s="394">
        <v>24</v>
      </c>
      <c r="C38" s="278">
        <f>'Windschutzstreifen (mit Knick)'!F148</f>
        <v>18.783017543694115</v>
      </c>
      <c r="D38" s="278">
        <f>'Windschutzstreifen (mit Knick)'!E148</f>
        <v>464.14137562356746</v>
      </c>
      <c r="E38" s="278">
        <f t="shared" si="0"/>
        <v>-445.35835807987337</v>
      </c>
      <c r="F38" s="279">
        <f t="shared" si="1"/>
        <v>0.39012147434412242</v>
      </c>
      <c r="G38" s="395">
        <f t="shared" si="2"/>
        <v>-173.74385926559779</v>
      </c>
    </row>
    <row r="39" spans="2:14" ht="16.5" thickBot="1" x14ac:dyDescent="0.3">
      <c r="B39" s="396">
        <v>25</v>
      </c>
      <c r="C39" s="397">
        <f>'Windschutzstreifen (mit Knick)'!F154</f>
        <v>5358.4802286882514</v>
      </c>
      <c r="D39" s="397">
        <f>'Windschutzstreifen (mit Knick)'!E154</f>
        <v>1316.1528701402792</v>
      </c>
      <c r="E39" s="397">
        <f t="shared" si="0"/>
        <v>4042.3273585479719</v>
      </c>
      <c r="F39" s="398">
        <f t="shared" si="1"/>
        <v>0.37511680225396377</v>
      </c>
      <c r="G39" s="399">
        <f t="shared" si="2"/>
        <v>1516.3449124022272</v>
      </c>
    </row>
    <row r="40" spans="2:14" ht="16.5" thickBot="1" x14ac:dyDescent="0.3">
      <c r="B40" s="400" t="s">
        <v>394</v>
      </c>
      <c r="C40" s="401">
        <f>SUM(C14:C39)</f>
        <v>13328.964637845174</v>
      </c>
      <c r="D40" s="401">
        <f t="shared" ref="D40:E40" si="3">SUM(D14:D39)</f>
        <v>14839.219652902448</v>
      </c>
      <c r="E40" s="401">
        <f t="shared" si="3"/>
        <v>-1510.2550150572724</v>
      </c>
      <c r="F40" s="402" t="s">
        <v>391</v>
      </c>
      <c r="G40" s="403">
        <f>SUM(G14:G39)</f>
        <v>-3989.1506574307286</v>
      </c>
    </row>
    <row r="41" spans="2:14" ht="16.5" thickBot="1" x14ac:dyDescent="0.3">
      <c r="B41" s="187"/>
      <c r="C41" s="187"/>
      <c r="D41" s="187"/>
      <c r="E41" s="187"/>
      <c r="F41" s="404" t="s">
        <v>393</v>
      </c>
      <c r="G41" s="405">
        <f>PMT($F$10,$F$11,-SUM(G14:G39))</f>
        <v>-255.35336343301671</v>
      </c>
      <c r="I41" s="281" t="s">
        <v>548</v>
      </c>
      <c r="J41" s="281"/>
      <c r="K41" s="281"/>
      <c r="L41" s="281"/>
    </row>
    <row r="42" spans="2:14" x14ac:dyDescent="0.25">
      <c r="B42" s="30"/>
      <c r="C42" s="30"/>
      <c r="G42" s="32"/>
      <c r="I42" s="281"/>
      <c r="J42" s="281"/>
      <c r="K42" s="281"/>
      <c r="L42" s="281"/>
    </row>
    <row r="43" spans="2:14" ht="54" customHeight="1" x14ac:dyDescent="0.25">
      <c r="B43" s="29"/>
      <c r="C43" s="32"/>
      <c r="I43" s="491" t="s">
        <v>549</v>
      </c>
      <c r="J43" s="491"/>
      <c r="K43" s="491"/>
      <c r="L43" s="491"/>
    </row>
    <row r="44" spans="2:14" ht="19.5" customHeight="1" x14ac:dyDescent="0.25">
      <c r="B44" s="29"/>
      <c r="C44" s="32"/>
      <c r="I44" s="286"/>
      <c r="J44" s="286"/>
      <c r="K44" s="286"/>
      <c r="L44" s="286"/>
    </row>
    <row r="45" spans="2:14" ht="84" customHeight="1" x14ac:dyDescent="0.25">
      <c r="B45" s="29"/>
      <c r="C45" s="32"/>
      <c r="I45" s="491" t="s">
        <v>550</v>
      </c>
      <c r="J45" s="491"/>
      <c r="K45" s="491"/>
      <c r="L45" s="491"/>
    </row>
    <row r="46" spans="2:14" x14ac:dyDescent="0.25">
      <c r="B46" s="29"/>
      <c r="C46" s="32"/>
    </row>
    <row r="47" spans="2:14" x14ac:dyDescent="0.25">
      <c r="B47" s="29"/>
      <c r="C47" s="32"/>
    </row>
    <row r="48" spans="2:14" x14ac:dyDescent="0.25">
      <c r="C48" s="33"/>
    </row>
  </sheetData>
  <mergeCells count="14">
    <mergeCell ref="I43:L43"/>
    <mergeCell ref="B3:K3"/>
    <mergeCell ref="I45:L45"/>
    <mergeCell ref="I9:L9"/>
    <mergeCell ref="F12:G12"/>
    <mergeCell ref="B8:K8"/>
    <mergeCell ref="B4:K4"/>
    <mergeCell ref="B5:K5"/>
    <mergeCell ref="B6:K6"/>
    <mergeCell ref="B7:K7"/>
    <mergeCell ref="I13:N20"/>
    <mergeCell ref="I22:N24"/>
    <mergeCell ref="I26:N28"/>
    <mergeCell ref="I30:N33"/>
  </mergeCells>
  <pageMargins left="0.7" right="0.7" top="0.78740157499999996" bottom="0.78740157499999996"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0E12C-08BE-409E-AA70-A278B68F6F3D}">
  <dimension ref="A1:W156"/>
  <sheetViews>
    <sheetView zoomScale="90" zoomScaleNormal="90" workbookViewId="0">
      <pane xSplit="1" topLeftCell="B1" activePane="topRight" state="frozen"/>
      <selection pane="topRight" activeCell="B154" sqref="B154"/>
    </sheetView>
  </sheetViews>
  <sheetFormatPr baseColWidth="10" defaultRowHeight="18.75" x14ac:dyDescent="0.25"/>
  <cols>
    <col min="1" max="1" width="7" style="57" customWidth="1"/>
    <col min="2" max="2" width="15.625" style="56" customWidth="1"/>
    <col min="3" max="3" width="15.375" style="56" customWidth="1"/>
    <col min="4" max="4" width="13.25" style="56" customWidth="1"/>
    <col min="5" max="5" width="15.125" style="57" customWidth="1"/>
    <col min="6" max="6" width="14.375" style="57" customWidth="1"/>
    <col min="7" max="7" width="17" style="38" customWidth="1"/>
    <col min="8" max="8" width="33" style="39" customWidth="1"/>
    <col min="9" max="9" width="12.75" style="38" customWidth="1"/>
    <col min="10" max="10" width="11.625" style="38" customWidth="1"/>
    <col min="11" max="11" width="12.125" style="38" customWidth="1"/>
    <col min="12" max="12" width="10.75" style="38" customWidth="1"/>
    <col min="13" max="13" width="13.125" style="38" customWidth="1"/>
    <col min="14" max="14" width="13" style="38" customWidth="1"/>
    <col min="15" max="15" width="19.25" style="38" customWidth="1"/>
    <col min="16" max="16" width="17.25" style="38" customWidth="1"/>
    <col min="17" max="17" width="16.75" style="38" customWidth="1"/>
    <col min="18" max="18" width="11" style="38"/>
    <col min="19" max="19" width="19" style="38" customWidth="1"/>
    <col min="20" max="20" width="40.375" style="38" customWidth="1"/>
    <col min="21" max="21" width="19.25" style="40" customWidth="1"/>
    <col min="22" max="22" width="19.25" style="247" customWidth="1"/>
    <col min="23" max="16384" width="11" style="38"/>
  </cols>
  <sheetData>
    <row r="1" spans="1:22" s="49" customFormat="1" x14ac:dyDescent="0.3">
      <c r="A1" s="57"/>
      <c r="B1" s="56"/>
      <c r="C1" s="56"/>
      <c r="D1" s="56"/>
      <c r="E1" s="270" t="s">
        <v>426</v>
      </c>
      <c r="F1" s="57"/>
      <c r="H1" s="50"/>
      <c r="M1" s="271" t="s">
        <v>649</v>
      </c>
      <c r="U1" s="51"/>
      <c r="V1" s="247"/>
    </row>
    <row r="2" spans="1:22" s="35" customFormat="1" x14ac:dyDescent="0.3">
      <c r="A2" s="57"/>
      <c r="B2" s="57"/>
      <c r="C2" s="57"/>
      <c r="D2" s="57"/>
      <c r="E2" s="271" t="s">
        <v>427</v>
      </c>
      <c r="F2" s="57"/>
      <c r="H2" s="36"/>
      <c r="M2" s="319" t="s">
        <v>655</v>
      </c>
      <c r="U2" s="37"/>
      <c r="V2" s="248"/>
    </row>
    <row r="3" spans="1:22" s="35" customFormat="1" ht="18.75" customHeight="1" thickBot="1" x14ac:dyDescent="0.35">
      <c r="A3" s="57"/>
      <c r="B3" s="57"/>
      <c r="C3" s="57"/>
      <c r="D3" s="57"/>
      <c r="E3" s="57"/>
      <c r="H3" s="36"/>
      <c r="M3" s="319"/>
      <c r="U3" s="37"/>
      <c r="V3" s="248"/>
    </row>
    <row r="4" spans="1:22" s="35" customFormat="1" ht="19.5" thickBot="1" x14ac:dyDescent="0.35">
      <c r="A4" s="382"/>
      <c r="B4" s="384" t="s">
        <v>474</v>
      </c>
      <c r="C4" s="386"/>
      <c r="D4" s="57"/>
      <c r="E4" s="57"/>
      <c r="G4" s="347" t="s">
        <v>450</v>
      </c>
      <c r="H4" s="346"/>
      <c r="M4" s="177"/>
      <c r="U4" s="37"/>
      <c r="V4" s="248"/>
    </row>
    <row r="5" spans="1:22" s="52" customFormat="1" ht="19.5" thickBot="1" x14ac:dyDescent="0.3">
      <c r="A5" s="382"/>
      <c r="B5" s="383" t="s">
        <v>475</v>
      </c>
      <c r="C5" s="385"/>
      <c r="D5" s="57"/>
      <c r="E5" s="57"/>
      <c r="G5" s="345" t="s">
        <v>416</v>
      </c>
      <c r="H5" s="346"/>
      <c r="M5" s="177"/>
      <c r="P5" s="54"/>
      <c r="U5" s="55"/>
      <c r="V5" s="247"/>
    </row>
    <row r="6" spans="1:22" s="52" customFormat="1" x14ac:dyDescent="0.3">
      <c r="A6" s="338"/>
      <c r="B6" s="192"/>
      <c r="C6" s="193"/>
      <c r="D6" s="57"/>
      <c r="E6" s="57"/>
      <c r="G6" s="272" t="s">
        <v>451</v>
      </c>
      <c r="H6" s="53"/>
      <c r="M6" s="177"/>
      <c r="P6" s="54"/>
      <c r="U6" s="55"/>
      <c r="V6" s="247"/>
    </row>
    <row r="7" spans="1:22" s="52" customFormat="1" ht="22.5" customHeight="1" x14ac:dyDescent="0.25">
      <c r="A7" s="57"/>
      <c r="B7" s="57"/>
      <c r="C7" s="57"/>
      <c r="D7" s="57"/>
      <c r="E7" s="57"/>
      <c r="G7" s="273" t="s">
        <v>452</v>
      </c>
      <c r="H7" s="53"/>
      <c r="M7" s="178"/>
      <c r="U7" s="55"/>
      <c r="V7" s="247"/>
    </row>
    <row r="8" spans="1:22" s="35" customFormat="1" ht="51" customHeight="1" x14ac:dyDescent="0.3">
      <c r="A8" s="337"/>
      <c r="B8" s="526" t="s">
        <v>658</v>
      </c>
      <c r="C8" s="527"/>
      <c r="D8" s="136">
        <v>22</v>
      </c>
      <c r="E8" s="521" t="s">
        <v>621</v>
      </c>
      <c r="F8" s="57"/>
      <c r="G8" s="106"/>
      <c r="H8" s="36"/>
      <c r="M8" s="178"/>
      <c r="U8" s="65"/>
      <c r="V8" s="248"/>
    </row>
    <row r="9" spans="1:22" ht="50.25" customHeight="1" thickBot="1" x14ac:dyDescent="0.3">
      <c r="A9" s="337"/>
      <c r="B9" s="526" t="s">
        <v>659</v>
      </c>
      <c r="C9" s="527"/>
      <c r="D9" s="136">
        <v>13.9</v>
      </c>
      <c r="E9" s="525"/>
      <c r="K9" s="103"/>
      <c r="L9" s="104"/>
      <c r="M9" s="103"/>
      <c r="N9" s="103"/>
      <c r="O9" s="103"/>
      <c r="P9" s="104"/>
      <c r="Q9" s="104"/>
      <c r="R9" s="104"/>
      <c r="S9" s="104"/>
      <c r="U9" s="173"/>
      <c r="V9" s="249"/>
    </row>
    <row r="10" spans="1:22" ht="19.5" thickBot="1" x14ac:dyDescent="0.3">
      <c r="J10" s="516" t="s">
        <v>395</v>
      </c>
      <c r="K10" s="517"/>
      <c r="L10" s="517"/>
      <c r="M10" s="517"/>
      <c r="N10" s="517"/>
      <c r="O10" s="518"/>
      <c r="Q10" s="519" t="s">
        <v>396</v>
      </c>
      <c r="R10" s="520"/>
      <c r="S10" s="520"/>
    </row>
    <row r="11" spans="1:22" s="41" customFormat="1" ht="113.25" customHeight="1" thickBot="1" x14ac:dyDescent="0.3">
      <c r="A11" s="132" t="s">
        <v>389</v>
      </c>
      <c r="B11" s="128" t="s">
        <v>464</v>
      </c>
      <c r="C11" s="128" t="s">
        <v>465</v>
      </c>
      <c r="D11" s="129" t="s">
        <v>447</v>
      </c>
      <c r="E11" s="127" t="s">
        <v>448</v>
      </c>
      <c r="F11" s="130" t="s">
        <v>449</v>
      </c>
      <c r="G11" s="241" t="s">
        <v>552</v>
      </c>
      <c r="H11" s="242" t="s">
        <v>467</v>
      </c>
      <c r="I11" s="243" t="s">
        <v>397</v>
      </c>
      <c r="J11" s="43" t="s">
        <v>538</v>
      </c>
      <c r="K11" s="244" t="s">
        <v>473</v>
      </c>
      <c r="L11" s="244" t="s">
        <v>472</v>
      </c>
      <c r="M11" s="44" t="s">
        <v>539</v>
      </c>
      <c r="N11" s="44" t="s">
        <v>540</v>
      </c>
      <c r="O11" s="45" t="s">
        <v>541</v>
      </c>
      <c r="P11" s="46" t="s">
        <v>542</v>
      </c>
      <c r="Q11" s="42" t="s">
        <v>543</v>
      </c>
      <c r="R11" s="240" t="s">
        <v>433</v>
      </c>
      <c r="S11" s="240" t="s">
        <v>481</v>
      </c>
      <c r="T11" s="81" t="s">
        <v>463</v>
      </c>
      <c r="U11" s="47" t="s">
        <v>443</v>
      </c>
      <c r="V11" s="250" t="s">
        <v>510</v>
      </c>
    </row>
    <row r="12" spans="1:22" s="48" customFormat="1" ht="177" customHeight="1" thickBot="1" x14ac:dyDescent="0.3">
      <c r="A12" s="339">
        <v>0</v>
      </c>
      <c r="B12" s="58"/>
      <c r="C12" s="58"/>
      <c r="D12" s="109"/>
      <c r="E12" s="114"/>
      <c r="F12" s="61"/>
      <c r="G12" s="213" t="s">
        <v>398</v>
      </c>
      <c r="H12" s="214" t="s">
        <v>534</v>
      </c>
      <c r="I12" s="215">
        <v>45667</v>
      </c>
      <c r="J12" s="216">
        <v>20</v>
      </c>
      <c r="K12" s="217">
        <v>2</v>
      </c>
      <c r="L12" s="217"/>
      <c r="M12" s="218">
        <f t="shared" ref="M12:M30" si="0">J12*K12/60</f>
        <v>0.66666666666666663</v>
      </c>
      <c r="N12" s="218">
        <f t="shared" ref="N12:N30" si="1">J12*L12/60</f>
        <v>0</v>
      </c>
      <c r="O12" s="219"/>
      <c r="P12" s="220" t="s">
        <v>399</v>
      </c>
      <c r="Q12" s="223"/>
      <c r="R12" s="217"/>
      <c r="S12" s="217"/>
      <c r="T12" s="230" t="s">
        <v>652</v>
      </c>
      <c r="U12" s="226" t="s">
        <v>573</v>
      </c>
      <c r="V12" s="251"/>
    </row>
    <row r="13" spans="1:22" s="48" customFormat="1" ht="87.75" customHeight="1" thickBot="1" x14ac:dyDescent="0.3">
      <c r="A13" s="340">
        <v>0</v>
      </c>
      <c r="B13" s="59"/>
      <c r="C13" s="59"/>
      <c r="D13" s="110"/>
      <c r="E13" s="115"/>
      <c r="F13" s="62"/>
      <c r="G13" s="213" t="s">
        <v>398</v>
      </c>
      <c r="H13" s="214" t="s">
        <v>533</v>
      </c>
      <c r="I13" s="215">
        <v>45685</v>
      </c>
      <c r="J13" s="216">
        <v>30</v>
      </c>
      <c r="K13" s="217">
        <v>2</v>
      </c>
      <c r="L13" s="217"/>
      <c r="M13" s="218">
        <f t="shared" si="0"/>
        <v>1</v>
      </c>
      <c r="N13" s="218">
        <f t="shared" si="1"/>
        <v>0</v>
      </c>
      <c r="O13" s="219"/>
      <c r="P13" s="220" t="s">
        <v>399</v>
      </c>
      <c r="Q13" s="223"/>
      <c r="R13" s="217"/>
      <c r="S13" s="217"/>
      <c r="T13" s="225"/>
      <c r="U13" s="226" t="s">
        <v>573</v>
      </c>
      <c r="V13" s="251"/>
    </row>
    <row r="14" spans="1:22" s="48" customFormat="1" ht="108.75" customHeight="1" thickBot="1" x14ac:dyDescent="0.3">
      <c r="A14" s="339">
        <v>0</v>
      </c>
      <c r="B14" s="59"/>
      <c r="C14" s="59"/>
      <c r="D14" s="110"/>
      <c r="E14" s="115"/>
      <c r="F14" s="62"/>
      <c r="G14" s="213" t="s">
        <v>398</v>
      </c>
      <c r="H14" s="214" t="s">
        <v>566</v>
      </c>
      <c r="I14" s="215">
        <v>46288</v>
      </c>
      <c r="J14" s="216">
        <v>105</v>
      </c>
      <c r="K14" s="217">
        <v>2</v>
      </c>
      <c r="L14" s="217"/>
      <c r="M14" s="218">
        <f t="shared" si="0"/>
        <v>3.5</v>
      </c>
      <c r="N14" s="218">
        <f t="shared" si="1"/>
        <v>0</v>
      </c>
      <c r="O14" s="219"/>
      <c r="P14" s="220" t="s">
        <v>400</v>
      </c>
      <c r="Q14" s="223"/>
      <c r="R14" s="217"/>
      <c r="S14" s="217"/>
      <c r="T14" s="225"/>
      <c r="U14" s="226" t="s">
        <v>436</v>
      </c>
      <c r="V14" s="251"/>
    </row>
    <row r="15" spans="1:22" s="48" customFormat="1" ht="60.75" thickBot="1" x14ac:dyDescent="0.3">
      <c r="A15" s="340">
        <v>0</v>
      </c>
      <c r="B15" s="59"/>
      <c r="C15" s="59"/>
      <c r="D15" s="110"/>
      <c r="E15" s="115"/>
      <c r="F15" s="62"/>
      <c r="G15" s="213" t="s">
        <v>398</v>
      </c>
      <c r="H15" s="214" t="s">
        <v>428</v>
      </c>
      <c r="I15" s="215">
        <v>45853</v>
      </c>
      <c r="J15" s="216">
        <v>40</v>
      </c>
      <c r="K15" s="217">
        <v>2</v>
      </c>
      <c r="L15" s="217"/>
      <c r="M15" s="218">
        <f t="shared" si="0"/>
        <v>1.3333333333333333</v>
      </c>
      <c r="N15" s="218">
        <f t="shared" si="1"/>
        <v>0</v>
      </c>
      <c r="O15" s="219"/>
      <c r="P15" s="220" t="s">
        <v>401</v>
      </c>
      <c r="Q15" s="223"/>
      <c r="R15" s="217"/>
      <c r="S15" s="229"/>
      <c r="T15" s="226"/>
      <c r="U15" s="226" t="s">
        <v>573</v>
      </c>
      <c r="V15" s="251"/>
    </row>
    <row r="16" spans="1:22" s="48" customFormat="1" ht="57.75" customHeight="1" thickBot="1" x14ac:dyDescent="0.3">
      <c r="A16" s="339">
        <v>0</v>
      </c>
      <c r="B16" s="59"/>
      <c r="C16" s="59"/>
      <c r="D16" s="110"/>
      <c r="E16" s="115"/>
      <c r="F16" s="62"/>
      <c r="G16" s="213" t="s">
        <v>402</v>
      </c>
      <c r="H16" s="214" t="s">
        <v>429</v>
      </c>
      <c r="I16" s="215">
        <v>45950</v>
      </c>
      <c r="J16" s="216">
        <v>45</v>
      </c>
      <c r="K16" s="217">
        <v>1</v>
      </c>
      <c r="L16" s="217"/>
      <c r="M16" s="218">
        <f t="shared" si="0"/>
        <v>0.75</v>
      </c>
      <c r="N16" s="218">
        <f t="shared" si="1"/>
        <v>0</v>
      </c>
      <c r="O16" s="222"/>
      <c r="P16" s="220" t="s">
        <v>403</v>
      </c>
      <c r="Q16" s="223"/>
      <c r="R16" s="217"/>
      <c r="S16" s="229"/>
      <c r="T16" s="225"/>
      <c r="U16" s="226" t="s">
        <v>436</v>
      </c>
      <c r="V16" s="251"/>
    </row>
    <row r="17" spans="1:22" s="48" customFormat="1" ht="72" customHeight="1" thickBot="1" x14ac:dyDescent="0.3">
      <c r="A17" s="340">
        <v>0</v>
      </c>
      <c r="B17" s="59"/>
      <c r="C17" s="59"/>
      <c r="D17" s="110"/>
      <c r="E17" s="115"/>
      <c r="F17" s="62"/>
      <c r="G17" s="213" t="s">
        <v>404</v>
      </c>
      <c r="H17" s="214" t="s">
        <v>430</v>
      </c>
      <c r="I17" s="215">
        <v>45950</v>
      </c>
      <c r="J17" s="216">
        <v>30</v>
      </c>
      <c r="K17" s="217">
        <v>1</v>
      </c>
      <c r="L17" s="217"/>
      <c r="M17" s="218">
        <f t="shared" si="0"/>
        <v>0.5</v>
      </c>
      <c r="N17" s="218">
        <f t="shared" si="1"/>
        <v>0</v>
      </c>
      <c r="O17" s="222"/>
      <c r="P17" s="220" t="s">
        <v>403</v>
      </c>
      <c r="Q17" s="223"/>
      <c r="R17" s="217"/>
      <c r="S17" s="224"/>
      <c r="T17" s="225" t="s">
        <v>567</v>
      </c>
      <c r="U17" s="226" t="s">
        <v>436</v>
      </c>
      <c r="V17" s="251"/>
    </row>
    <row r="18" spans="1:22" s="48" customFormat="1" ht="31.5" thickBot="1" x14ac:dyDescent="0.3">
      <c r="A18" s="339">
        <v>0</v>
      </c>
      <c r="B18" s="59"/>
      <c r="C18" s="59"/>
      <c r="D18" s="110"/>
      <c r="E18" s="115"/>
      <c r="F18" s="62"/>
      <c r="G18" s="213" t="s">
        <v>446</v>
      </c>
      <c r="H18" s="214"/>
      <c r="I18" s="215"/>
      <c r="J18" s="216"/>
      <c r="K18" s="217"/>
      <c r="L18" s="217"/>
      <c r="M18" s="218">
        <f t="shared" si="0"/>
        <v>0</v>
      </c>
      <c r="N18" s="218">
        <f t="shared" si="1"/>
        <v>0</v>
      </c>
      <c r="O18" s="222"/>
      <c r="P18" s="220"/>
      <c r="Q18" s="223" t="s">
        <v>529</v>
      </c>
      <c r="R18" s="217">
        <v>54</v>
      </c>
      <c r="S18" s="224">
        <f>1.54*54</f>
        <v>83.16</v>
      </c>
      <c r="T18" s="225" t="s">
        <v>468</v>
      </c>
      <c r="U18" s="226" t="s">
        <v>436</v>
      </c>
      <c r="V18" s="251"/>
    </row>
    <row r="19" spans="1:22" s="48" customFormat="1" ht="38.25" customHeight="1" thickBot="1" x14ac:dyDescent="0.3">
      <c r="A19" s="340">
        <v>0</v>
      </c>
      <c r="B19" s="59"/>
      <c r="C19" s="59"/>
      <c r="D19" s="110"/>
      <c r="E19" s="115"/>
      <c r="F19" s="62"/>
      <c r="G19" s="213" t="s">
        <v>446</v>
      </c>
      <c r="H19" s="214"/>
      <c r="I19" s="215"/>
      <c r="J19" s="216"/>
      <c r="K19" s="217"/>
      <c r="L19" s="217"/>
      <c r="M19" s="218">
        <f t="shared" si="0"/>
        <v>0</v>
      </c>
      <c r="N19" s="218">
        <f t="shared" si="1"/>
        <v>0</v>
      </c>
      <c r="O19" s="222"/>
      <c r="P19" s="220"/>
      <c r="Q19" s="223" t="s">
        <v>530</v>
      </c>
      <c r="R19" s="217">
        <v>18</v>
      </c>
      <c r="S19" s="224">
        <f>18*2.44</f>
        <v>43.92</v>
      </c>
      <c r="T19" s="225" t="s">
        <v>469</v>
      </c>
      <c r="U19" s="226" t="s">
        <v>436</v>
      </c>
      <c r="V19" s="251"/>
    </row>
    <row r="20" spans="1:22" s="48" customFormat="1" ht="48.75" customHeight="1" thickBot="1" x14ac:dyDescent="0.3">
      <c r="A20" s="339">
        <v>0</v>
      </c>
      <c r="B20" s="59"/>
      <c r="C20" s="59"/>
      <c r="D20" s="110"/>
      <c r="E20" s="115"/>
      <c r="F20" s="62"/>
      <c r="G20" s="213" t="s">
        <v>446</v>
      </c>
      <c r="H20" s="214"/>
      <c r="I20" s="215"/>
      <c r="J20" s="216"/>
      <c r="K20" s="217"/>
      <c r="L20" s="217"/>
      <c r="M20" s="218">
        <f t="shared" si="0"/>
        <v>0</v>
      </c>
      <c r="N20" s="218">
        <f t="shared" si="1"/>
        <v>0</v>
      </c>
      <c r="O20" s="222"/>
      <c r="P20" s="220"/>
      <c r="Q20" s="223" t="s">
        <v>563</v>
      </c>
      <c r="R20" s="217">
        <v>172</v>
      </c>
      <c r="S20" s="224">
        <f>172*2.44</f>
        <v>419.68</v>
      </c>
      <c r="T20" s="225" t="s">
        <v>468</v>
      </c>
      <c r="U20" s="226" t="s">
        <v>436</v>
      </c>
      <c r="V20" s="251"/>
    </row>
    <row r="21" spans="1:22" s="48" customFormat="1" ht="30.75" thickBot="1" x14ac:dyDescent="0.3">
      <c r="A21" s="340">
        <v>0</v>
      </c>
      <c r="B21" s="59"/>
      <c r="C21" s="59"/>
      <c r="D21" s="110"/>
      <c r="E21" s="115"/>
      <c r="F21" s="62"/>
      <c r="G21" s="213" t="s">
        <v>446</v>
      </c>
      <c r="H21" s="214"/>
      <c r="I21" s="215"/>
      <c r="J21" s="216"/>
      <c r="K21" s="217"/>
      <c r="L21" s="217"/>
      <c r="M21" s="218">
        <f t="shared" si="0"/>
        <v>0</v>
      </c>
      <c r="N21" s="218">
        <f t="shared" si="1"/>
        <v>0</v>
      </c>
      <c r="O21" s="222"/>
      <c r="P21" s="220"/>
      <c r="Q21" s="223" t="s">
        <v>405</v>
      </c>
      <c r="R21" s="217">
        <v>100</v>
      </c>
      <c r="S21" s="224">
        <v>200</v>
      </c>
      <c r="T21" s="225" t="s">
        <v>431</v>
      </c>
      <c r="U21" s="226" t="s">
        <v>436</v>
      </c>
      <c r="V21" s="251"/>
    </row>
    <row r="22" spans="1:22" s="48" customFormat="1" ht="34.5" customHeight="1" thickBot="1" x14ac:dyDescent="0.3">
      <c r="A22" s="339">
        <v>0</v>
      </c>
      <c r="B22" s="59"/>
      <c r="C22" s="59"/>
      <c r="D22" s="110"/>
      <c r="E22" s="115"/>
      <c r="F22" s="62"/>
      <c r="G22" s="213" t="s">
        <v>446</v>
      </c>
      <c r="H22" s="214"/>
      <c r="I22" s="215"/>
      <c r="J22" s="216"/>
      <c r="K22" s="217"/>
      <c r="L22" s="217"/>
      <c r="M22" s="218">
        <f t="shared" si="0"/>
        <v>0</v>
      </c>
      <c r="N22" s="218">
        <f t="shared" si="1"/>
        <v>0</v>
      </c>
      <c r="O22" s="222"/>
      <c r="P22" s="220"/>
      <c r="Q22" s="223"/>
      <c r="R22" s="217"/>
      <c r="S22" s="224">
        <v>15</v>
      </c>
      <c r="T22" s="225" t="s">
        <v>432</v>
      </c>
      <c r="U22" s="226" t="s">
        <v>436</v>
      </c>
      <c r="V22" s="251"/>
    </row>
    <row r="23" spans="1:22" s="48" customFormat="1" ht="46.5" thickBot="1" x14ac:dyDescent="0.3">
      <c r="A23" s="340">
        <v>0</v>
      </c>
      <c r="B23" s="59"/>
      <c r="C23" s="59"/>
      <c r="D23" s="110"/>
      <c r="E23" s="115"/>
      <c r="F23" s="62"/>
      <c r="G23" s="213" t="s">
        <v>446</v>
      </c>
      <c r="H23" s="214"/>
      <c r="I23" s="215"/>
      <c r="J23" s="216"/>
      <c r="K23" s="217"/>
      <c r="L23" s="217"/>
      <c r="M23" s="218">
        <f t="shared" si="0"/>
        <v>0</v>
      </c>
      <c r="N23" s="218">
        <f t="shared" si="1"/>
        <v>0</v>
      </c>
      <c r="O23" s="222"/>
      <c r="P23" s="220"/>
      <c r="Q23" s="223" t="s">
        <v>531</v>
      </c>
      <c r="R23" s="217">
        <v>18</v>
      </c>
      <c r="S23" s="224">
        <f>2.43*18</f>
        <v>43.74</v>
      </c>
      <c r="T23" s="228" t="s">
        <v>434</v>
      </c>
      <c r="U23" s="226" t="s">
        <v>436</v>
      </c>
      <c r="V23" s="251"/>
    </row>
    <row r="24" spans="1:22" s="48" customFormat="1" ht="33" customHeight="1" thickBot="1" x14ac:dyDescent="0.3">
      <c r="A24" s="339">
        <v>0</v>
      </c>
      <c r="B24" s="59"/>
      <c r="C24" s="59"/>
      <c r="D24" s="110"/>
      <c r="E24" s="115"/>
      <c r="F24" s="62"/>
      <c r="G24" s="213" t="s">
        <v>446</v>
      </c>
      <c r="H24" s="214"/>
      <c r="I24" s="215"/>
      <c r="J24" s="216"/>
      <c r="K24" s="217"/>
      <c r="L24" s="217"/>
      <c r="M24" s="218">
        <f t="shared" si="0"/>
        <v>0</v>
      </c>
      <c r="N24" s="218">
        <f t="shared" si="1"/>
        <v>0</v>
      </c>
      <c r="O24" s="222"/>
      <c r="P24" s="220"/>
      <c r="Q24" s="223"/>
      <c r="R24" s="217"/>
      <c r="S24" s="224">
        <v>6.33</v>
      </c>
      <c r="T24" s="225" t="s">
        <v>532</v>
      </c>
      <c r="U24" s="226" t="s">
        <v>436</v>
      </c>
      <c r="V24" s="251"/>
    </row>
    <row r="25" spans="1:22" s="48" customFormat="1" ht="153" customHeight="1" thickBot="1" x14ac:dyDescent="0.3">
      <c r="A25" s="339">
        <v>0</v>
      </c>
      <c r="B25" s="59"/>
      <c r="C25" s="59"/>
      <c r="D25" s="110"/>
      <c r="E25" s="115"/>
      <c r="F25" s="62"/>
      <c r="G25" s="213" t="s">
        <v>446</v>
      </c>
      <c r="H25" s="221"/>
      <c r="I25" s="215"/>
      <c r="J25" s="216"/>
      <c r="K25" s="217"/>
      <c r="L25" s="217"/>
      <c r="M25" s="218">
        <f t="shared" si="0"/>
        <v>0</v>
      </c>
      <c r="N25" s="218">
        <f t="shared" si="1"/>
        <v>0</v>
      </c>
      <c r="O25" s="222"/>
      <c r="P25" s="220"/>
      <c r="Q25" s="223" t="s">
        <v>438</v>
      </c>
      <c r="R25" s="217">
        <v>262</v>
      </c>
      <c r="S25" s="224">
        <f>R25*0.56/1.19</f>
        <v>123.29411764705885</v>
      </c>
      <c r="T25" s="225" t="s">
        <v>470</v>
      </c>
      <c r="U25" s="226" t="s">
        <v>573</v>
      </c>
      <c r="V25" s="251"/>
    </row>
    <row r="26" spans="1:22" s="48" customFormat="1" ht="60.75" thickBot="1" x14ac:dyDescent="0.3">
      <c r="A26" s="340">
        <v>0</v>
      </c>
      <c r="B26" s="60"/>
      <c r="C26" s="60"/>
      <c r="D26" s="111"/>
      <c r="E26" s="116"/>
      <c r="F26" s="64"/>
      <c r="G26" s="213" t="s">
        <v>446</v>
      </c>
      <c r="H26" s="214"/>
      <c r="I26" s="215"/>
      <c r="J26" s="216"/>
      <c r="K26" s="217"/>
      <c r="L26" s="217"/>
      <c r="M26" s="218">
        <f t="shared" si="0"/>
        <v>0</v>
      </c>
      <c r="N26" s="218">
        <f t="shared" si="1"/>
        <v>0</v>
      </c>
      <c r="O26" s="219"/>
      <c r="P26" s="220"/>
      <c r="Q26" s="223" t="s">
        <v>435</v>
      </c>
      <c r="R26" s="217" t="s">
        <v>437</v>
      </c>
      <c r="S26" s="224">
        <f>26.9*2/1.19</f>
        <v>45.210084033613448</v>
      </c>
      <c r="T26" s="225" t="s">
        <v>471</v>
      </c>
      <c r="U26" s="226" t="s">
        <v>436</v>
      </c>
      <c r="V26" s="251"/>
    </row>
    <row r="27" spans="1:22" s="48" customFormat="1" ht="45" x14ac:dyDescent="0.25">
      <c r="A27" s="339">
        <v>0</v>
      </c>
      <c r="B27" s="60"/>
      <c r="C27" s="60"/>
      <c r="D27" s="111"/>
      <c r="E27" s="116"/>
      <c r="F27" s="64"/>
      <c r="G27" s="213" t="s">
        <v>446</v>
      </c>
      <c r="H27" s="214"/>
      <c r="I27" s="215"/>
      <c r="J27" s="216"/>
      <c r="K27" s="217"/>
      <c r="L27" s="217"/>
      <c r="M27" s="218">
        <f t="shared" si="0"/>
        <v>0</v>
      </c>
      <c r="N27" s="218">
        <f t="shared" si="1"/>
        <v>0</v>
      </c>
      <c r="O27" s="219"/>
      <c r="P27" s="220"/>
      <c r="Q27" s="227" t="s">
        <v>439</v>
      </c>
      <c r="R27" s="217">
        <v>80</v>
      </c>
      <c r="S27" s="224">
        <f>SUM(R27*1.31)/1.19</f>
        <v>88.067226890756316</v>
      </c>
      <c r="T27" s="225" t="s">
        <v>440</v>
      </c>
      <c r="U27" s="226" t="s">
        <v>436</v>
      </c>
      <c r="V27" s="251"/>
    </row>
    <row r="28" spans="1:22" s="48" customFormat="1" ht="95.25" customHeight="1" x14ac:dyDescent="0.25">
      <c r="A28" s="340">
        <v>0</v>
      </c>
      <c r="B28" s="60"/>
      <c r="C28" s="60"/>
      <c r="D28" s="111"/>
      <c r="E28" s="116"/>
      <c r="F28" s="64"/>
      <c r="G28" s="348" t="s">
        <v>406</v>
      </c>
      <c r="H28" s="349" t="s">
        <v>407</v>
      </c>
      <c r="I28" s="350">
        <v>45852</v>
      </c>
      <c r="J28" s="351">
        <v>20</v>
      </c>
      <c r="K28" s="352">
        <v>1</v>
      </c>
      <c r="L28" s="352"/>
      <c r="M28" s="353">
        <f t="shared" si="0"/>
        <v>0.33333333333333331</v>
      </c>
      <c r="N28" s="353">
        <f t="shared" si="1"/>
        <v>0</v>
      </c>
      <c r="O28" s="354" t="s">
        <v>646</v>
      </c>
      <c r="P28" s="355" t="s">
        <v>577</v>
      </c>
      <c r="Q28" s="356" t="s">
        <v>466</v>
      </c>
      <c r="R28" s="357" t="s">
        <v>580</v>
      </c>
      <c r="S28" s="358">
        <f>0.2*27</f>
        <v>5.4</v>
      </c>
      <c r="T28" s="359" t="s">
        <v>647</v>
      </c>
      <c r="U28" s="359" t="s">
        <v>436</v>
      </c>
      <c r="V28" s="252"/>
    </row>
    <row r="29" spans="1:22" s="48" customFormat="1" ht="111" customHeight="1" x14ac:dyDescent="0.25">
      <c r="A29" s="339">
        <v>0</v>
      </c>
      <c r="B29" s="60"/>
      <c r="C29" s="60"/>
      <c r="D29" s="111"/>
      <c r="E29" s="116"/>
      <c r="F29" s="64"/>
      <c r="G29" s="348" t="s">
        <v>408</v>
      </c>
      <c r="H29" s="349" t="s">
        <v>409</v>
      </c>
      <c r="I29" s="350">
        <v>45853</v>
      </c>
      <c r="J29" s="351">
        <v>60</v>
      </c>
      <c r="K29" s="352">
        <v>2</v>
      </c>
      <c r="L29" s="352"/>
      <c r="M29" s="353">
        <f t="shared" si="0"/>
        <v>2</v>
      </c>
      <c r="N29" s="353">
        <f t="shared" si="1"/>
        <v>0</v>
      </c>
      <c r="O29" s="354"/>
      <c r="P29" s="360" t="s">
        <v>442</v>
      </c>
      <c r="Q29" s="348" t="s">
        <v>410</v>
      </c>
      <c r="R29" s="361" t="s">
        <v>445</v>
      </c>
      <c r="S29" s="362">
        <f>7/1.19</f>
        <v>5.882352941176471</v>
      </c>
      <c r="T29" s="359" t="s">
        <v>568</v>
      </c>
      <c r="U29" s="359" t="s">
        <v>444</v>
      </c>
      <c r="V29" s="252"/>
    </row>
    <row r="30" spans="1:22" s="48" customFormat="1" ht="30.75" thickBot="1" x14ac:dyDescent="0.3">
      <c r="A30" s="341">
        <v>0</v>
      </c>
      <c r="B30" s="117"/>
      <c r="C30" s="117"/>
      <c r="D30" s="118"/>
      <c r="E30" s="119"/>
      <c r="F30" s="120"/>
      <c r="G30" s="348" t="s">
        <v>408</v>
      </c>
      <c r="H30" s="349" t="s">
        <v>411</v>
      </c>
      <c r="I30" s="350">
        <v>45930</v>
      </c>
      <c r="J30" s="351">
        <v>20</v>
      </c>
      <c r="K30" s="352">
        <v>1</v>
      </c>
      <c r="L30" s="352"/>
      <c r="M30" s="353">
        <f t="shared" si="0"/>
        <v>0.33333333333333331</v>
      </c>
      <c r="N30" s="353">
        <f t="shared" si="1"/>
        <v>0</v>
      </c>
      <c r="O30" s="354"/>
      <c r="P30" s="355" t="s">
        <v>412</v>
      </c>
      <c r="Q30" s="363"/>
      <c r="R30" s="364"/>
      <c r="S30" s="365"/>
      <c r="T30" s="366"/>
      <c r="U30" s="367"/>
      <c r="V30" s="252"/>
    </row>
    <row r="31" spans="1:22" s="48" customFormat="1" ht="33" customHeight="1" thickBot="1" x14ac:dyDescent="0.3">
      <c r="A31" s="135">
        <v>0</v>
      </c>
      <c r="B31" s="123">
        <f>SUM(M12:M30)*D8</f>
        <v>229.16666666666666</v>
      </c>
      <c r="C31" s="123">
        <f>SUM(N12:N30)*D9</f>
        <v>0</v>
      </c>
      <c r="D31" s="124">
        <f>SUM(S12:S30)</f>
        <v>1079.6837815126055</v>
      </c>
      <c r="E31" s="125">
        <f>SUM(B31:D31)</f>
        <v>1308.8504481792722</v>
      </c>
      <c r="F31" s="126">
        <f>SUM(V12:V30)</f>
        <v>0</v>
      </c>
      <c r="G31" s="107"/>
      <c r="H31" s="66"/>
      <c r="I31" s="67"/>
      <c r="J31" s="68"/>
      <c r="K31" s="69"/>
      <c r="L31" s="69"/>
      <c r="M31" s="69"/>
      <c r="N31" s="69"/>
      <c r="O31" s="70"/>
      <c r="P31" s="71"/>
      <c r="Q31" s="72"/>
      <c r="R31" s="73"/>
      <c r="S31" s="74"/>
      <c r="T31" s="75"/>
      <c r="U31" s="76"/>
      <c r="V31" s="252"/>
    </row>
    <row r="32" spans="1:22" s="48" customFormat="1" ht="45" x14ac:dyDescent="0.25">
      <c r="A32" s="342">
        <v>1</v>
      </c>
      <c r="B32" s="121"/>
      <c r="C32" s="121"/>
      <c r="D32" s="121"/>
      <c r="E32" s="112"/>
      <c r="F32" s="113"/>
      <c r="G32" s="348" t="s">
        <v>413</v>
      </c>
      <c r="H32" s="349" t="s">
        <v>414</v>
      </c>
      <c r="I32" s="368">
        <v>2026</v>
      </c>
      <c r="J32" s="351">
        <v>20</v>
      </c>
      <c r="K32" s="352">
        <v>1</v>
      </c>
      <c r="L32" s="352"/>
      <c r="M32" s="353">
        <f t="shared" ref="M32:M38" si="2">J32*K32/60</f>
        <v>0.33333333333333331</v>
      </c>
      <c r="N32" s="353">
        <f t="shared" ref="N32:N38" si="3">J32*L32/60</f>
        <v>0</v>
      </c>
      <c r="O32" s="354"/>
      <c r="P32" s="355" t="s">
        <v>415</v>
      </c>
      <c r="Q32" s="356" t="s">
        <v>466</v>
      </c>
      <c r="R32" s="357" t="s">
        <v>580</v>
      </c>
      <c r="S32" s="358">
        <f>M32*17</f>
        <v>5.6666666666666661</v>
      </c>
      <c r="T32" s="369"/>
      <c r="U32" s="359" t="s">
        <v>436</v>
      </c>
      <c r="V32" s="252"/>
    </row>
    <row r="33" spans="1:22" s="48" customFormat="1" ht="165" customHeight="1" x14ac:dyDescent="0.25">
      <c r="A33" s="343">
        <v>1</v>
      </c>
      <c r="B33" s="60"/>
      <c r="C33" s="60"/>
      <c r="D33" s="60"/>
      <c r="E33" s="63"/>
      <c r="F33" s="64"/>
      <c r="G33" s="348" t="s">
        <v>416</v>
      </c>
      <c r="H33" s="349" t="s">
        <v>579</v>
      </c>
      <c r="I33" s="368">
        <v>2026</v>
      </c>
      <c r="J33" s="351">
        <v>140</v>
      </c>
      <c r="K33" s="352">
        <v>1</v>
      </c>
      <c r="L33" s="352">
        <v>1</v>
      </c>
      <c r="M33" s="353">
        <f t="shared" si="2"/>
        <v>2.3333333333333335</v>
      </c>
      <c r="N33" s="353">
        <f t="shared" si="3"/>
        <v>2.3333333333333335</v>
      </c>
      <c r="O33" s="354" t="s">
        <v>569</v>
      </c>
      <c r="P33" s="355" t="s">
        <v>486</v>
      </c>
      <c r="Q33" s="370" t="s">
        <v>453</v>
      </c>
      <c r="R33" s="361"/>
      <c r="S33" s="362">
        <v>300</v>
      </c>
      <c r="T33" s="371" t="s">
        <v>576</v>
      </c>
      <c r="U33" s="371" t="s">
        <v>573</v>
      </c>
      <c r="V33" s="176"/>
    </row>
    <row r="34" spans="1:22" s="48" customFormat="1" ht="68.25" customHeight="1" x14ac:dyDescent="0.25">
      <c r="A34" s="343">
        <v>1</v>
      </c>
      <c r="B34" s="60"/>
      <c r="C34" s="60"/>
      <c r="D34" s="60"/>
      <c r="E34" s="63"/>
      <c r="F34" s="64"/>
      <c r="G34" s="348"/>
      <c r="H34" s="349"/>
      <c r="I34" s="368"/>
      <c r="J34" s="351"/>
      <c r="K34" s="352"/>
      <c r="L34" s="352"/>
      <c r="M34" s="353">
        <f t="shared" si="2"/>
        <v>0</v>
      </c>
      <c r="N34" s="353">
        <f t="shared" si="3"/>
        <v>0</v>
      </c>
      <c r="O34" s="354"/>
      <c r="P34" s="355" t="s">
        <v>584</v>
      </c>
      <c r="Q34" s="348" t="s">
        <v>454</v>
      </c>
      <c r="R34" s="361" t="s">
        <v>455</v>
      </c>
      <c r="S34" s="362">
        <f>150*1.7</f>
        <v>255</v>
      </c>
      <c r="T34" s="371" t="s">
        <v>482</v>
      </c>
      <c r="U34" s="371" t="s">
        <v>436</v>
      </c>
      <c r="V34" s="176"/>
    </row>
    <row r="35" spans="1:22" s="48" customFormat="1" ht="28.5" customHeight="1" x14ac:dyDescent="0.25">
      <c r="A35" s="343">
        <v>1</v>
      </c>
      <c r="B35" s="60"/>
      <c r="C35" s="60"/>
      <c r="D35" s="60"/>
      <c r="E35" s="63"/>
      <c r="F35" s="64"/>
      <c r="G35" s="348"/>
      <c r="H35" s="349"/>
      <c r="I35" s="368"/>
      <c r="J35" s="351"/>
      <c r="K35" s="352"/>
      <c r="L35" s="352"/>
      <c r="M35" s="353">
        <f t="shared" si="2"/>
        <v>0</v>
      </c>
      <c r="N35" s="353">
        <f t="shared" si="3"/>
        <v>0</v>
      </c>
      <c r="O35" s="354"/>
      <c r="P35" s="372"/>
      <c r="Q35" s="348" t="s">
        <v>466</v>
      </c>
      <c r="R35" s="361" t="s">
        <v>582</v>
      </c>
      <c r="S35" s="358">
        <f>40*M33</f>
        <v>93.333333333333343</v>
      </c>
      <c r="T35" s="359" t="s">
        <v>583</v>
      </c>
      <c r="U35" s="359" t="s">
        <v>436</v>
      </c>
      <c r="V35" s="252"/>
    </row>
    <row r="36" spans="1:22" s="48" customFormat="1" ht="128.25" customHeight="1" x14ac:dyDescent="0.25">
      <c r="A36" s="343">
        <v>1</v>
      </c>
      <c r="B36" s="60"/>
      <c r="C36" s="60"/>
      <c r="D36" s="60"/>
      <c r="E36" s="63"/>
      <c r="F36" s="64"/>
      <c r="G36" s="348" t="s">
        <v>417</v>
      </c>
      <c r="H36" s="349" t="s">
        <v>528</v>
      </c>
      <c r="I36" s="368">
        <v>2026</v>
      </c>
      <c r="J36" s="351">
        <v>90</v>
      </c>
      <c r="K36" s="352">
        <v>1</v>
      </c>
      <c r="L36" s="352">
        <v>1</v>
      </c>
      <c r="M36" s="353">
        <f t="shared" si="2"/>
        <v>1.5</v>
      </c>
      <c r="N36" s="353">
        <f t="shared" si="3"/>
        <v>1.5</v>
      </c>
      <c r="O36" s="354" t="s">
        <v>485</v>
      </c>
      <c r="P36" s="355" t="s">
        <v>585</v>
      </c>
      <c r="Q36" s="348" t="s">
        <v>418</v>
      </c>
      <c r="R36" s="361" t="s">
        <v>419</v>
      </c>
      <c r="S36" s="362">
        <v>40</v>
      </c>
      <c r="T36" s="373" t="s">
        <v>570</v>
      </c>
      <c r="U36" s="359" t="s">
        <v>436</v>
      </c>
      <c r="V36" s="252"/>
    </row>
    <row r="37" spans="1:22" s="48" customFormat="1" x14ac:dyDescent="0.25">
      <c r="A37" s="343">
        <v>1</v>
      </c>
      <c r="B37" s="60"/>
      <c r="C37" s="60"/>
      <c r="D37" s="60"/>
      <c r="E37" s="63"/>
      <c r="F37" s="64"/>
      <c r="G37" s="348"/>
      <c r="H37" s="349"/>
      <c r="I37" s="368"/>
      <c r="J37" s="351"/>
      <c r="K37" s="352"/>
      <c r="L37" s="352"/>
      <c r="M37" s="353">
        <f t="shared" si="2"/>
        <v>0</v>
      </c>
      <c r="N37" s="353">
        <f t="shared" si="3"/>
        <v>0</v>
      </c>
      <c r="O37" s="354"/>
      <c r="P37" s="372"/>
      <c r="Q37" s="348" t="s">
        <v>466</v>
      </c>
      <c r="R37" s="361" t="s">
        <v>578</v>
      </c>
      <c r="S37" s="358">
        <f>M36*17</f>
        <v>25.5</v>
      </c>
      <c r="T37" s="369"/>
      <c r="U37" s="359" t="s">
        <v>436</v>
      </c>
      <c r="V37" s="252"/>
    </row>
    <row r="38" spans="1:22" s="48" customFormat="1" ht="75" x14ac:dyDescent="0.25">
      <c r="A38" s="343">
        <v>1</v>
      </c>
      <c r="B38" s="60"/>
      <c r="C38" s="60"/>
      <c r="D38" s="60"/>
      <c r="E38" s="63"/>
      <c r="F38" s="64"/>
      <c r="G38" s="374" t="s">
        <v>458</v>
      </c>
      <c r="H38" s="349" t="s">
        <v>459</v>
      </c>
      <c r="I38" s="368">
        <v>2026</v>
      </c>
      <c r="J38" s="351">
        <v>120</v>
      </c>
      <c r="K38" s="352">
        <v>1</v>
      </c>
      <c r="L38" s="352">
        <v>1</v>
      </c>
      <c r="M38" s="353">
        <f t="shared" si="2"/>
        <v>2</v>
      </c>
      <c r="N38" s="353">
        <f t="shared" si="3"/>
        <v>2</v>
      </c>
      <c r="O38" s="354" t="s">
        <v>478</v>
      </c>
      <c r="P38" s="355"/>
      <c r="Q38" s="348" t="s">
        <v>457</v>
      </c>
      <c r="R38" s="361" t="s">
        <v>506</v>
      </c>
      <c r="S38" s="362"/>
      <c r="T38" s="373"/>
      <c r="U38" s="359" t="s">
        <v>436</v>
      </c>
      <c r="V38" s="252"/>
    </row>
    <row r="39" spans="1:22" s="48" customFormat="1" ht="90" x14ac:dyDescent="0.25">
      <c r="A39" s="343">
        <v>1</v>
      </c>
      <c r="B39" s="60"/>
      <c r="C39" s="60"/>
      <c r="D39" s="60"/>
      <c r="E39" s="63"/>
      <c r="F39" s="64"/>
      <c r="G39" s="157" t="s">
        <v>592</v>
      </c>
      <c r="H39" s="158" t="s">
        <v>589</v>
      </c>
      <c r="I39" s="159">
        <v>2026</v>
      </c>
      <c r="J39" s="160">
        <v>120</v>
      </c>
      <c r="K39" s="161">
        <v>2</v>
      </c>
      <c r="L39" s="161"/>
      <c r="M39" s="231">
        <f t="shared" ref="M39:M41" si="4">J39*K39/60</f>
        <v>4</v>
      </c>
      <c r="N39" s="231">
        <f t="shared" ref="N39:N41" si="5">J39*L39/60</f>
        <v>0</v>
      </c>
      <c r="O39" s="321"/>
      <c r="P39" s="211"/>
      <c r="Q39" s="322" t="s">
        <v>597</v>
      </c>
      <c r="R39" s="323"/>
      <c r="S39" s="324">
        <v>500</v>
      </c>
      <c r="T39" s="311" t="s">
        <v>598</v>
      </c>
      <c r="U39" s="211" t="s">
        <v>436</v>
      </c>
      <c r="V39" s="253"/>
    </row>
    <row r="40" spans="1:22" s="48" customFormat="1" ht="60" x14ac:dyDescent="0.25">
      <c r="A40" s="343">
        <v>1</v>
      </c>
      <c r="B40" s="60"/>
      <c r="C40" s="60"/>
      <c r="D40" s="60"/>
      <c r="E40" s="63"/>
      <c r="F40" s="64"/>
      <c r="G40" s="375" t="s">
        <v>489</v>
      </c>
      <c r="H40" s="349" t="s">
        <v>594</v>
      </c>
      <c r="I40" s="368">
        <v>2026</v>
      </c>
      <c r="J40" s="351">
        <v>240</v>
      </c>
      <c r="K40" s="352">
        <v>2.5</v>
      </c>
      <c r="L40" s="352"/>
      <c r="M40" s="353">
        <f t="shared" si="4"/>
        <v>10</v>
      </c>
      <c r="N40" s="353">
        <f t="shared" si="5"/>
        <v>0</v>
      </c>
      <c r="O40" s="376" t="s">
        <v>593</v>
      </c>
      <c r="P40" s="377" t="s">
        <v>595</v>
      </c>
      <c r="Q40" s="348" t="s">
        <v>466</v>
      </c>
      <c r="R40" s="361" t="s">
        <v>596</v>
      </c>
      <c r="S40" s="362">
        <f>2*35</f>
        <v>70</v>
      </c>
      <c r="T40" s="371" t="s">
        <v>614</v>
      </c>
      <c r="U40" s="359" t="s">
        <v>436</v>
      </c>
      <c r="V40" s="253"/>
    </row>
    <row r="41" spans="1:22" s="48" customFormat="1" ht="30" x14ac:dyDescent="0.25">
      <c r="A41" s="343">
        <v>1</v>
      </c>
      <c r="B41" s="60"/>
      <c r="C41" s="60"/>
      <c r="D41" s="60"/>
      <c r="E41" s="63"/>
      <c r="F41" s="64"/>
      <c r="G41" s="375" t="s">
        <v>599</v>
      </c>
      <c r="H41" s="349" t="s">
        <v>601</v>
      </c>
      <c r="I41" s="368">
        <v>2026</v>
      </c>
      <c r="J41" s="351">
        <v>20</v>
      </c>
      <c r="K41" s="352">
        <v>1</v>
      </c>
      <c r="L41" s="352"/>
      <c r="M41" s="353">
        <f t="shared" si="4"/>
        <v>0.33333333333333331</v>
      </c>
      <c r="N41" s="353">
        <f t="shared" si="5"/>
        <v>0</v>
      </c>
      <c r="O41" s="376"/>
      <c r="P41" s="377" t="s">
        <v>600</v>
      </c>
      <c r="Q41" s="348" t="s">
        <v>466</v>
      </c>
      <c r="R41" s="361" t="s">
        <v>578</v>
      </c>
      <c r="S41" s="362">
        <f>M41*17</f>
        <v>5.6666666666666661</v>
      </c>
      <c r="T41" s="371"/>
      <c r="U41" s="359" t="s">
        <v>436</v>
      </c>
      <c r="V41" s="253"/>
    </row>
    <row r="42" spans="1:22" s="336" customFormat="1" ht="30" x14ac:dyDescent="0.25">
      <c r="A42" s="447">
        <v>1</v>
      </c>
      <c r="B42" s="333"/>
      <c r="C42" s="333"/>
      <c r="D42" s="333"/>
      <c r="E42" s="334"/>
      <c r="F42" s="335"/>
      <c r="G42" s="375" t="s">
        <v>602</v>
      </c>
      <c r="H42" s="349" t="s">
        <v>653</v>
      </c>
      <c r="I42" s="368">
        <v>2026</v>
      </c>
      <c r="J42" s="351">
        <v>60</v>
      </c>
      <c r="K42" s="352">
        <v>1</v>
      </c>
      <c r="L42" s="352"/>
      <c r="M42" s="353">
        <f t="shared" ref="M42:M47" si="6">J42*K42/60</f>
        <v>1</v>
      </c>
      <c r="N42" s="353">
        <f t="shared" ref="N42:N47" si="7">J42*L42/60</f>
        <v>0</v>
      </c>
      <c r="O42" s="376" t="s">
        <v>603</v>
      </c>
      <c r="P42" s="377"/>
      <c r="Q42" s="348" t="s">
        <v>604</v>
      </c>
      <c r="R42" s="361" t="s">
        <v>697</v>
      </c>
      <c r="S42" s="362">
        <f>133.2/5*0.2</f>
        <v>5.3279999999999994</v>
      </c>
      <c r="T42" s="371" t="s">
        <v>698</v>
      </c>
      <c r="U42" s="377" t="s">
        <v>436</v>
      </c>
      <c r="V42" s="253"/>
    </row>
    <row r="43" spans="1:22" s="48" customFormat="1" ht="41.25" customHeight="1" x14ac:dyDescent="0.25">
      <c r="A43" s="343">
        <v>1</v>
      </c>
      <c r="B43" s="60"/>
      <c r="C43" s="60"/>
      <c r="D43" s="60"/>
      <c r="E43" s="63"/>
      <c r="F43" s="64"/>
      <c r="G43" s="375" t="s">
        <v>605</v>
      </c>
      <c r="H43" s="349" t="s">
        <v>606</v>
      </c>
      <c r="I43" s="368">
        <v>2026</v>
      </c>
      <c r="J43" s="351">
        <v>60</v>
      </c>
      <c r="K43" s="352">
        <v>1</v>
      </c>
      <c r="L43" s="352"/>
      <c r="M43" s="353">
        <f t="shared" si="6"/>
        <v>1</v>
      </c>
      <c r="N43" s="353">
        <f t="shared" si="7"/>
        <v>0</v>
      </c>
      <c r="O43" s="376" t="s">
        <v>607</v>
      </c>
      <c r="P43" s="377" t="s">
        <v>608</v>
      </c>
      <c r="Q43" s="348" t="s">
        <v>466</v>
      </c>
      <c r="R43" s="361" t="s">
        <v>609</v>
      </c>
      <c r="S43" s="362">
        <f>(17+25)*0.3</f>
        <v>12.6</v>
      </c>
      <c r="T43" s="371"/>
      <c r="U43" s="377" t="s">
        <v>436</v>
      </c>
      <c r="V43" s="253"/>
    </row>
    <row r="44" spans="1:22" s="336" customFormat="1" ht="47.25" customHeight="1" x14ac:dyDescent="0.25">
      <c r="A44" s="343">
        <v>1</v>
      </c>
      <c r="B44" s="333"/>
      <c r="C44" s="333"/>
      <c r="D44" s="333"/>
      <c r="E44" s="334"/>
      <c r="F44" s="335"/>
      <c r="G44" s="375"/>
      <c r="H44" s="349"/>
      <c r="I44" s="368"/>
      <c r="J44" s="351"/>
      <c r="K44" s="352"/>
      <c r="L44" s="352"/>
      <c r="M44" s="353"/>
      <c r="N44" s="353"/>
      <c r="O44" s="378"/>
      <c r="P44" s="355"/>
      <c r="Q44" s="348" t="s">
        <v>610</v>
      </c>
      <c r="R44" s="361" t="s">
        <v>611</v>
      </c>
      <c r="S44" s="362">
        <f>31</f>
        <v>31</v>
      </c>
      <c r="T44" s="379" t="s">
        <v>654</v>
      </c>
      <c r="U44" s="377" t="s">
        <v>436</v>
      </c>
      <c r="V44" s="176"/>
    </row>
    <row r="45" spans="1:22" s="48" customFormat="1" ht="41.25" customHeight="1" x14ac:dyDescent="0.25">
      <c r="A45" s="343">
        <v>1</v>
      </c>
      <c r="B45" s="60"/>
      <c r="C45" s="60"/>
      <c r="D45" s="60"/>
      <c r="E45" s="63"/>
      <c r="F45" s="64"/>
      <c r="G45" s="356" t="s">
        <v>612</v>
      </c>
      <c r="H45" s="349" t="s">
        <v>613</v>
      </c>
      <c r="I45" s="368">
        <v>2026</v>
      </c>
      <c r="J45" s="351">
        <v>660</v>
      </c>
      <c r="K45" s="352">
        <v>1</v>
      </c>
      <c r="L45" s="352"/>
      <c r="M45" s="353">
        <f t="shared" ref="M45:M46" si="8">J45*K45/60</f>
        <v>11</v>
      </c>
      <c r="N45" s="353">
        <f t="shared" ref="N45:N46" si="9">J45*L45/60</f>
        <v>0</v>
      </c>
      <c r="O45" s="378"/>
      <c r="P45" s="355"/>
      <c r="Q45" s="348"/>
      <c r="R45" s="361"/>
      <c r="S45" s="362"/>
      <c r="T45" s="371" t="s">
        <v>614</v>
      </c>
      <c r="U45" s="380" t="s">
        <v>436</v>
      </c>
      <c r="V45" s="176"/>
    </row>
    <row r="46" spans="1:22" s="48" customFormat="1" ht="41.25" customHeight="1" x14ac:dyDescent="0.25">
      <c r="A46" s="343">
        <v>1</v>
      </c>
      <c r="B46" s="60"/>
      <c r="C46" s="60"/>
      <c r="D46" s="60"/>
      <c r="E46" s="63"/>
      <c r="F46" s="64"/>
      <c r="G46" s="356" t="s">
        <v>617</v>
      </c>
      <c r="H46" s="349" t="s">
        <v>615</v>
      </c>
      <c r="I46" s="368">
        <v>2026</v>
      </c>
      <c r="J46" s="351">
        <v>240</v>
      </c>
      <c r="K46" s="352">
        <v>1</v>
      </c>
      <c r="L46" s="352"/>
      <c r="M46" s="353">
        <f t="shared" si="8"/>
        <v>4</v>
      </c>
      <c r="N46" s="353">
        <f t="shared" si="9"/>
        <v>0</v>
      </c>
      <c r="O46" s="378"/>
      <c r="P46" s="355" t="s">
        <v>619</v>
      </c>
      <c r="Q46" s="348" t="s">
        <v>466</v>
      </c>
      <c r="R46" s="361" t="s">
        <v>596</v>
      </c>
      <c r="S46" s="362">
        <f>35*4</f>
        <v>140</v>
      </c>
      <c r="T46" s="371"/>
      <c r="U46" s="380"/>
      <c r="V46" s="176"/>
    </row>
    <row r="47" spans="1:22" s="336" customFormat="1" ht="51.75" customHeight="1" x14ac:dyDescent="0.25">
      <c r="A47" s="343">
        <v>1</v>
      </c>
      <c r="B47" s="333"/>
      <c r="C47" s="333"/>
      <c r="D47" s="333"/>
      <c r="E47" s="334"/>
      <c r="F47" s="335"/>
      <c r="G47" s="356" t="s">
        <v>618</v>
      </c>
      <c r="H47" s="349" t="s">
        <v>616</v>
      </c>
      <c r="I47" s="368">
        <v>2026</v>
      </c>
      <c r="J47" s="351">
        <v>40</v>
      </c>
      <c r="K47" s="352">
        <v>1</v>
      </c>
      <c r="L47" s="352"/>
      <c r="M47" s="353">
        <f t="shared" si="6"/>
        <v>0.66666666666666663</v>
      </c>
      <c r="N47" s="353">
        <f t="shared" si="7"/>
        <v>0</v>
      </c>
      <c r="O47" s="378"/>
      <c r="P47" s="355"/>
      <c r="Q47" s="348" t="s">
        <v>656</v>
      </c>
      <c r="R47" s="361" t="s">
        <v>620</v>
      </c>
      <c r="S47" s="362">
        <f>30</f>
        <v>30</v>
      </c>
      <c r="T47" s="379" t="s">
        <v>471</v>
      </c>
      <c r="U47" s="380" t="s">
        <v>436</v>
      </c>
      <c r="V47" s="252"/>
    </row>
    <row r="48" spans="1:22" s="41" customFormat="1" ht="90" x14ac:dyDescent="0.25">
      <c r="A48" s="343">
        <v>1</v>
      </c>
      <c r="B48" s="60"/>
      <c r="C48" s="60"/>
      <c r="D48" s="60"/>
      <c r="E48" s="63"/>
      <c r="F48" s="64"/>
      <c r="G48" s="208" t="s">
        <v>421</v>
      </c>
      <c r="H48" s="77" t="s">
        <v>555</v>
      </c>
      <c r="I48" s="209">
        <v>2026</v>
      </c>
      <c r="J48" s="152">
        <v>120</v>
      </c>
      <c r="K48" s="153">
        <v>1</v>
      </c>
      <c r="L48" s="153"/>
      <c r="M48" s="196">
        <f>J48*K48/60</f>
        <v>2</v>
      </c>
      <c r="N48" s="196">
        <f>J48*L48/60</f>
        <v>0</v>
      </c>
      <c r="O48" s="96" t="s">
        <v>556</v>
      </c>
      <c r="P48" s="141" t="s">
        <v>554</v>
      </c>
      <c r="Q48" s="142" t="s">
        <v>422</v>
      </c>
      <c r="R48" s="143" t="s">
        <v>423</v>
      </c>
      <c r="S48" s="144">
        <v>0</v>
      </c>
      <c r="T48" s="145" t="s">
        <v>574</v>
      </c>
      <c r="U48" s="212" t="s">
        <v>573</v>
      </c>
      <c r="V48" s="254"/>
    </row>
    <row r="49" spans="1:23" s="41" customFormat="1" x14ac:dyDescent="0.25">
      <c r="A49" s="343">
        <v>1</v>
      </c>
      <c r="B49" s="60"/>
      <c r="C49" s="60"/>
      <c r="D49" s="60"/>
      <c r="E49" s="63"/>
      <c r="F49" s="64"/>
      <c r="G49" s="162"/>
      <c r="H49" s="77"/>
      <c r="I49" s="209"/>
      <c r="J49" s="146"/>
      <c r="K49" s="147"/>
      <c r="L49" s="147"/>
      <c r="M49" s="196">
        <f>J49*K49/60</f>
        <v>0</v>
      </c>
      <c r="N49" s="196">
        <f>J49*L49/60</f>
        <v>0</v>
      </c>
      <c r="O49" s="96"/>
      <c r="P49" s="197"/>
      <c r="Q49" s="142" t="s">
        <v>466</v>
      </c>
      <c r="R49" s="143" t="s">
        <v>580</v>
      </c>
      <c r="S49" s="144">
        <f>M48*27</f>
        <v>54</v>
      </c>
      <c r="T49" s="145"/>
      <c r="U49" s="82" t="s">
        <v>436</v>
      </c>
      <c r="V49" s="252"/>
    </row>
    <row r="50" spans="1:23" s="41" customFormat="1" ht="80.25" customHeight="1" thickBot="1" x14ac:dyDescent="0.3">
      <c r="A50" s="344">
        <v>1</v>
      </c>
      <c r="B50" s="117"/>
      <c r="C50" s="117"/>
      <c r="D50" s="117"/>
      <c r="E50" s="137"/>
      <c r="F50" s="120"/>
      <c r="G50" s="162" t="s">
        <v>461</v>
      </c>
      <c r="H50" s="78" t="s">
        <v>460</v>
      </c>
      <c r="I50" s="210">
        <v>2026</v>
      </c>
      <c r="J50" s="146">
        <v>25</v>
      </c>
      <c r="K50" s="147">
        <v>1</v>
      </c>
      <c r="L50" s="147"/>
      <c r="M50" s="196">
        <f>J50*K50/60</f>
        <v>0.41666666666666669</v>
      </c>
      <c r="N50" s="196">
        <f>J50*L50/60</f>
        <v>0</v>
      </c>
      <c r="O50" s="96" t="s">
        <v>462</v>
      </c>
      <c r="P50" s="141"/>
      <c r="Q50" s="198"/>
      <c r="R50" s="153"/>
      <c r="S50" s="199"/>
      <c r="T50" s="82" t="s">
        <v>484</v>
      </c>
      <c r="U50" s="201" t="s">
        <v>573</v>
      </c>
      <c r="V50" s="255"/>
    </row>
    <row r="51" spans="1:23" s="94" customFormat="1" ht="36" customHeight="1" thickBot="1" x14ac:dyDescent="0.3">
      <c r="A51" s="122">
        <v>1</v>
      </c>
      <c r="B51" s="138">
        <f>(SUM(M32:M50)*D8)*(1+2%)^1</f>
        <v>910.68999999999994</v>
      </c>
      <c r="C51" s="138">
        <f>(SUM(N32:N50)*D9)*(1+2%)^1</f>
        <v>82.705000000000013</v>
      </c>
      <c r="D51" s="123">
        <f>SUM(S32:S50)</f>
        <v>1568.0946666666666</v>
      </c>
      <c r="E51" s="139">
        <f>SUM(B51:D51)</f>
        <v>2561.4896666666664</v>
      </c>
      <c r="F51" s="126">
        <f>SUM(V32:V50)</f>
        <v>0</v>
      </c>
      <c r="G51" s="108"/>
      <c r="H51" s="83"/>
      <c r="I51" s="84"/>
      <c r="J51" s="85"/>
      <c r="K51" s="131"/>
      <c r="L51" s="87"/>
      <c r="M51" s="131"/>
      <c r="N51" s="87"/>
      <c r="O51" s="88"/>
      <c r="P51" s="89"/>
      <c r="Q51" s="90"/>
      <c r="R51" s="86"/>
      <c r="S51" s="91"/>
      <c r="T51" s="92"/>
      <c r="U51" s="93"/>
      <c r="V51" s="255"/>
    </row>
    <row r="52" spans="1:23" s="41" customFormat="1" ht="108.75" customHeight="1" x14ac:dyDescent="0.25">
      <c r="A52" s="343">
        <v>2</v>
      </c>
      <c r="B52" s="60"/>
      <c r="C52" s="60"/>
      <c r="D52" s="60"/>
      <c r="E52" s="63"/>
      <c r="F52" s="64"/>
      <c r="G52" s="203" t="s">
        <v>559</v>
      </c>
      <c r="H52" s="204" t="s">
        <v>480</v>
      </c>
      <c r="I52" s="205">
        <v>2027</v>
      </c>
      <c r="J52" s="146">
        <v>60</v>
      </c>
      <c r="K52" s="195">
        <v>1</v>
      </c>
      <c r="L52" s="195"/>
      <c r="M52" s="196">
        <f>J52*K52/60</f>
        <v>1</v>
      </c>
      <c r="N52" s="196">
        <f>J52*L52/60</f>
        <v>0</v>
      </c>
      <c r="O52" s="140" t="s">
        <v>479</v>
      </c>
      <c r="P52" s="141" t="s">
        <v>558</v>
      </c>
      <c r="Q52" s="206" t="s">
        <v>557</v>
      </c>
      <c r="R52" s="147">
        <v>15</v>
      </c>
      <c r="S52" s="207">
        <f>2.25*R52</f>
        <v>33.75</v>
      </c>
      <c r="T52" s="151" t="s">
        <v>575</v>
      </c>
      <c r="U52" s="201" t="s">
        <v>573</v>
      </c>
      <c r="V52" s="255"/>
    </row>
    <row r="53" spans="1:23" s="41" customFormat="1" ht="72.75" customHeight="1" x14ac:dyDescent="0.25">
      <c r="A53" s="343">
        <v>2</v>
      </c>
      <c r="B53" s="60"/>
      <c r="C53" s="60"/>
      <c r="D53" s="60"/>
      <c r="E53" s="63"/>
      <c r="F53" s="64"/>
      <c r="G53" s="162" t="s">
        <v>487</v>
      </c>
      <c r="H53" s="78" t="s">
        <v>488</v>
      </c>
      <c r="I53" s="194">
        <v>2027</v>
      </c>
      <c r="J53" s="146">
        <v>40</v>
      </c>
      <c r="K53" s="147">
        <v>1</v>
      </c>
      <c r="L53" s="147"/>
      <c r="M53" s="196">
        <f>J53*K53/60</f>
        <v>0.66666666666666663</v>
      </c>
      <c r="N53" s="196">
        <f>J53*L53/60</f>
        <v>0</v>
      </c>
      <c r="O53" s="96" t="s">
        <v>483</v>
      </c>
      <c r="P53" s="141"/>
      <c r="Q53" s="198"/>
      <c r="R53" s="153"/>
      <c r="S53" s="199"/>
      <c r="T53" s="82" t="s">
        <v>484</v>
      </c>
      <c r="U53" s="201" t="s">
        <v>573</v>
      </c>
      <c r="V53" s="255"/>
    </row>
    <row r="54" spans="1:23" s="41" customFormat="1" ht="131.25" customHeight="1" x14ac:dyDescent="0.25">
      <c r="A54" s="343">
        <v>2</v>
      </c>
      <c r="B54" s="60"/>
      <c r="C54" s="60"/>
      <c r="D54" s="60"/>
      <c r="E54" s="63"/>
      <c r="F54" s="64"/>
      <c r="G54" s="203" t="s">
        <v>417</v>
      </c>
      <c r="H54" s="77" t="s">
        <v>528</v>
      </c>
      <c r="I54" s="200">
        <v>2027</v>
      </c>
      <c r="J54" s="152">
        <v>90</v>
      </c>
      <c r="K54" s="153">
        <v>1</v>
      </c>
      <c r="L54" s="153">
        <v>1</v>
      </c>
      <c r="M54" s="196">
        <f>J54*K54/60</f>
        <v>1.5</v>
      </c>
      <c r="N54" s="196">
        <f>J54*L54/60</f>
        <v>1.5</v>
      </c>
      <c r="O54" s="96" t="s">
        <v>485</v>
      </c>
      <c r="P54" s="154" t="s">
        <v>456</v>
      </c>
      <c r="Q54" s="142" t="s">
        <v>418</v>
      </c>
      <c r="R54" s="143" t="s">
        <v>419</v>
      </c>
      <c r="S54" s="144">
        <v>40</v>
      </c>
      <c r="T54" s="156" t="s">
        <v>570</v>
      </c>
      <c r="U54" s="82" t="s">
        <v>436</v>
      </c>
      <c r="V54" s="252"/>
    </row>
    <row r="55" spans="1:23" s="41" customFormat="1" ht="30.75" thickBot="1" x14ac:dyDescent="0.3">
      <c r="A55" s="343">
        <v>2</v>
      </c>
      <c r="B55" s="60"/>
      <c r="C55" s="60"/>
      <c r="D55" s="60"/>
      <c r="E55" s="63"/>
      <c r="F55" s="64"/>
      <c r="G55" s="162"/>
      <c r="H55" s="78"/>
      <c r="I55" s="200"/>
      <c r="J55" s="146"/>
      <c r="K55" s="147"/>
      <c r="L55" s="147"/>
      <c r="M55" s="196">
        <f>J55*K55/60</f>
        <v>0</v>
      </c>
      <c r="N55" s="196">
        <f>J55*L55/60</f>
        <v>0</v>
      </c>
      <c r="O55" s="155"/>
      <c r="P55" s="197"/>
      <c r="Q55" s="198" t="s">
        <v>466</v>
      </c>
      <c r="R55" s="153" t="s">
        <v>586</v>
      </c>
      <c r="S55" s="199">
        <f>32*M54</f>
        <v>48</v>
      </c>
      <c r="T55" s="82"/>
      <c r="U55" s="82" t="s">
        <v>436</v>
      </c>
      <c r="V55" s="252"/>
    </row>
    <row r="56" spans="1:23" s="94" customFormat="1" ht="36" customHeight="1" thickBot="1" x14ac:dyDescent="0.3">
      <c r="A56" s="122">
        <v>2</v>
      </c>
      <c r="B56" s="138">
        <f>(SUM(M52:M55)*D8)*(1+2%)^2</f>
        <v>72.481199999999987</v>
      </c>
      <c r="C56" s="138">
        <f>(SUM(N52:N55)*D9)*(1+2%)^2</f>
        <v>21.692340000000002</v>
      </c>
      <c r="D56" s="123">
        <f>SUM(S52:S55)</f>
        <v>121.75</v>
      </c>
      <c r="E56" s="139">
        <f>SUM(B56:D56)</f>
        <v>215.92354</v>
      </c>
      <c r="F56" s="126">
        <f>SUM(V52:V55)</f>
        <v>0</v>
      </c>
      <c r="G56" s="238"/>
      <c r="H56" s="83"/>
      <c r="I56" s="325"/>
      <c r="J56" s="85"/>
      <c r="K56" s="87"/>
      <c r="L56" s="87"/>
      <c r="M56" s="87"/>
      <c r="N56" s="87"/>
      <c r="O56" s="88"/>
      <c r="P56" s="326"/>
      <c r="Q56" s="327"/>
      <c r="R56" s="328"/>
      <c r="S56" s="329"/>
      <c r="T56" s="92"/>
      <c r="U56" s="232"/>
      <c r="V56" s="255"/>
    </row>
    <row r="57" spans="1:23" s="41" customFormat="1" ht="60" x14ac:dyDescent="0.25">
      <c r="A57" s="343">
        <v>3</v>
      </c>
      <c r="B57" s="60"/>
      <c r="C57" s="60"/>
      <c r="D57" s="60"/>
      <c r="E57" s="63"/>
      <c r="F57" s="64"/>
      <c r="G57" s="162" t="s">
        <v>487</v>
      </c>
      <c r="H57" s="78" t="s">
        <v>488</v>
      </c>
      <c r="I57" s="200">
        <v>2028</v>
      </c>
      <c r="J57" s="146">
        <v>40</v>
      </c>
      <c r="K57" s="147">
        <v>1</v>
      </c>
      <c r="L57" s="147"/>
      <c r="M57" s="196">
        <f>J57*K57/60</f>
        <v>0.66666666666666663</v>
      </c>
      <c r="N57" s="196">
        <f>J57*L57/60</f>
        <v>0</v>
      </c>
      <c r="O57" s="155"/>
      <c r="P57" s="197"/>
      <c r="Q57" s="142"/>
      <c r="R57" s="143"/>
      <c r="S57" s="144"/>
      <c r="T57" s="82" t="s">
        <v>484</v>
      </c>
      <c r="U57" s="201" t="s">
        <v>573</v>
      </c>
      <c r="V57" s="255"/>
    </row>
    <row r="58" spans="1:23" s="41" customFormat="1" ht="75.75" customHeight="1" thickBot="1" x14ac:dyDescent="0.3">
      <c r="A58" s="343">
        <v>3</v>
      </c>
      <c r="B58" s="60"/>
      <c r="C58" s="60"/>
      <c r="D58" s="60"/>
      <c r="E58" s="63"/>
      <c r="F58" s="64"/>
      <c r="G58" s="162" t="s">
        <v>491</v>
      </c>
      <c r="H58" s="78" t="s">
        <v>492</v>
      </c>
      <c r="I58" s="194">
        <v>2028</v>
      </c>
      <c r="J58" s="146">
        <f>104*2</f>
        <v>208</v>
      </c>
      <c r="K58" s="195">
        <v>1</v>
      </c>
      <c r="L58" s="195"/>
      <c r="M58" s="196">
        <f>J58*K58/60</f>
        <v>3.4666666666666668</v>
      </c>
      <c r="N58" s="196">
        <f>J58*L58/60</f>
        <v>0</v>
      </c>
      <c r="O58" s="155" t="s">
        <v>624</v>
      </c>
      <c r="P58" s="197"/>
      <c r="Q58" s="198" t="s">
        <v>424</v>
      </c>
      <c r="R58" s="153"/>
      <c r="S58" s="199"/>
      <c r="T58" s="156" t="s">
        <v>625</v>
      </c>
      <c r="U58" s="197" t="s">
        <v>436</v>
      </c>
      <c r="V58" s="256"/>
    </row>
    <row r="59" spans="1:23" s="94" customFormat="1" ht="36" customHeight="1" thickBot="1" x14ac:dyDescent="0.3">
      <c r="A59" s="122">
        <v>3</v>
      </c>
      <c r="B59" s="138">
        <f>(SUM(M57:M58)*D8)*(1+2%)^3</f>
        <v>96.499180799999991</v>
      </c>
      <c r="C59" s="138">
        <f>(SUM(N57:N58)*D9)*(1+2%)^3</f>
        <v>0</v>
      </c>
      <c r="D59" s="123">
        <f>SUM(S57:S58)</f>
        <v>0</v>
      </c>
      <c r="E59" s="139">
        <f>SUM(B59:D59)</f>
        <v>96.499180799999991</v>
      </c>
      <c r="F59" s="126">
        <f>SUM(V57:V58)</f>
        <v>0</v>
      </c>
      <c r="G59" s="238"/>
      <c r="H59" s="83"/>
      <c r="I59" s="325"/>
      <c r="J59" s="85"/>
      <c r="K59" s="87"/>
      <c r="L59" s="87"/>
      <c r="M59" s="87"/>
      <c r="N59" s="87"/>
      <c r="O59" s="88"/>
      <c r="P59" s="326"/>
      <c r="Q59" s="327"/>
      <c r="R59" s="328"/>
      <c r="S59" s="329"/>
      <c r="T59" s="92"/>
      <c r="U59" s="232"/>
      <c r="V59" s="255"/>
    </row>
    <row r="60" spans="1:23" s="41" customFormat="1" ht="48.2" customHeight="1" x14ac:dyDescent="0.25">
      <c r="A60" s="343">
        <v>4</v>
      </c>
      <c r="B60" s="60"/>
      <c r="C60" s="60"/>
      <c r="D60" s="60"/>
      <c r="E60" s="63"/>
      <c r="F60" s="64"/>
      <c r="G60" s="162" t="s">
        <v>461</v>
      </c>
      <c r="H60" s="78" t="s">
        <v>494</v>
      </c>
      <c r="I60" s="194">
        <v>2029</v>
      </c>
      <c r="J60" s="146">
        <v>100</v>
      </c>
      <c r="K60" s="195"/>
      <c r="L60" s="195">
        <v>1</v>
      </c>
      <c r="M60" s="196">
        <f>J60*K60/60</f>
        <v>0</v>
      </c>
      <c r="N60" s="196">
        <f>J60*L60/60</f>
        <v>1.6666666666666667</v>
      </c>
      <c r="O60" s="155"/>
      <c r="P60" s="197"/>
      <c r="Q60" s="202" t="s">
        <v>420</v>
      </c>
      <c r="R60" s="153"/>
      <c r="S60" s="199"/>
      <c r="T60" s="156" t="s">
        <v>571</v>
      </c>
      <c r="U60" s="197" t="s">
        <v>436</v>
      </c>
      <c r="V60" s="256"/>
    </row>
    <row r="61" spans="1:23" s="41" customFormat="1" ht="66" customHeight="1" x14ac:dyDescent="0.25">
      <c r="A61" s="343">
        <v>4</v>
      </c>
      <c r="B61" s="60"/>
      <c r="C61" s="60"/>
      <c r="D61" s="60"/>
      <c r="E61" s="63"/>
      <c r="F61" s="64"/>
      <c r="G61" s="162" t="s">
        <v>487</v>
      </c>
      <c r="H61" s="78" t="s">
        <v>495</v>
      </c>
      <c r="I61" s="194">
        <v>2029</v>
      </c>
      <c r="J61" s="146">
        <v>40</v>
      </c>
      <c r="K61" s="195">
        <v>1</v>
      </c>
      <c r="L61" s="195"/>
      <c r="M61" s="196">
        <f>J61*K61/60</f>
        <v>0.66666666666666663</v>
      </c>
      <c r="N61" s="196">
        <f>J61*L61/60</f>
        <v>0</v>
      </c>
      <c r="O61" s="330"/>
      <c r="P61" s="141"/>
      <c r="Q61" s="198"/>
      <c r="R61" s="153"/>
      <c r="S61" s="199"/>
      <c r="T61" s="82" t="s">
        <v>484</v>
      </c>
      <c r="U61" s="197" t="s">
        <v>436</v>
      </c>
      <c r="V61" s="256"/>
    </row>
    <row r="62" spans="1:23" s="41" customFormat="1" ht="66" customHeight="1" x14ac:dyDescent="0.25">
      <c r="A62" s="343">
        <v>4</v>
      </c>
      <c r="B62" s="60"/>
      <c r="C62" s="60"/>
      <c r="D62" s="60"/>
      <c r="E62" s="63"/>
      <c r="F62" s="64"/>
      <c r="G62" s="162" t="s">
        <v>491</v>
      </c>
      <c r="H62" s="78" t="s">
        <v>492</v>
      </c>
      <c r="I62" s="194">
        <v>2029</v>
      </c>
      <c r="J62" s="146">
        <f>104*2</f>
        <v>208</v>
      </c>
      <c r="K62" s="153">
        <v>1</v>
      </c>
      <c r="L62" s="153"/>
      <c r="M62" s="196">
        <f>J62*K62/60</f>
        <v>3.4666666666666668</v>
      </c>
      <c r="N62" s="196">
        <f>J62*L62/60</f>
        <v>0</v>
      </c>
      <c r="O62" s="155" t="s">
        <v>624</v>
      </c>
      <c r="P62" s="141"/>
      <c r="Q62" s="198" t="s">
        <v>424</v>
      </c>
      <c r="R62" s="153"/>
      <c r="S62" s="199"/>
      <c r="T62" s="156"/>
      <c r="U62" s="197" t="s">
        <v>436</v>
      </c>
      <c r="V62" s="256"/>
    </row>
    <row r="63" spans="1:23" s="41" customFormat="1" ht="62.25" customHeight="1" thickBot="1" x14ac:dyDescent="0.3">
      <c r="A63" s="343">
        <v>4</v>
      </c>
      <c r="B63" s="60"/>
      <c r="C63" s="60"/>
      <c r="D63" s="60"/>
      <c r="E63" s="63"/>
      <c r="F63" s="64"/>
      <c r="G63" s="170" t="s">
        <v>632</v>
      </c>
      <c r="H63" s="312" t="s">
        <v>634</v>
      </c>
      <c r="I63" s="314">
        <v>2029</v>
      </c>
      <c r="J63" s="164">
        <f>20*9</f>
        <v>180</v>
      </c>
      <c r="K63" s="235">
        <v>1</v>
      </c>
      <c r="L63" s="263"/>
      <c r="M63" s="236">
        <f>J63*K63/60</f>
        <v>3</v>
      </c>
      <c r="N63" s="236">
        <f>J63*L63/60</f>
        <v>0</v>
      </c>
      <c r="O63" s="313" t="s">
        <v>635</v>
      </c>
      <c r="P63" s="315" t="s">
        <v>636</v>
      </c>
      <c r="Q63" s="316"/>
      <c r="R63" s="263"/>
      <c r="S63" s="246"/>
      <c r="T63" s="313" t="s">
        <v>623</v>
      </c>
      <c r="U63" s="237" t="s">
        <v>436</v>
      </c>
      <c r="V63" s="255">
        <f>Futterlauberlöse!A33*(1+3%)^4</f>
        <v>7.2797909830799998</v>
      </c>
      <c r="W63" s="177"/>
    </row>
    <row r="64" spans="1:23" s="94" customFormat="1" ht="36" customHeight="1" thickBot="1" x14ac:dyDescent="0.3">
      <c r="A64" s="122">
        <v>4</v>
      </c>
      <c r="B64" s="138">
        <f>(SUM(M60:M63)*D8)*(1+2%)^4</f>
        <v>169.869686976</v>
      </c>
      <c r="C64" s="138">
        <f>(SUM(N60:N63)*D9)*(1+2%)^4</f>
        <v>25.07634504</v>
      </c>
      <c r="D64" s="123">
        <f>SUM(S60:S63)</f>
        <v>0</v>
      </c>
      <c r="E64" s="139">
        <f>SUM(B64:D64)</f>
        <v>194.946032016</v>
      </c>
      <c r="F64" s="126">
        <f>SUM(V60:V63)</f>
        <v>7.2797909830799998</v>
      </c>
      <c r="G64" s="108"/>
      <c r="H64" s="83"/>
      <c r="I64" s="84"/>
      <c r="J64" s="85"/>
      <c r="K64" s="131"/>
      <c r="L64" s="87"/>
      <c r="M64" s="131"/>
      <c r="N64" s="87"/>
      <c r="O64" s="88"/>
      <c r="P64" s="89"/>
      <c r="Q64" s="90"/>
      <c r="R64" s="86"/>
      <c r="S64" s="91"/>
      <c r="T64" s="92"/>
      <c r="U64" s="93"/>
      <c r="V64" s="255"/>
    </row>
    <row r="65" spans="1:22" s="41" customFormat="1" ht="75.75" customHeight="1" x14ac:dyDescent="0.25">
      <c r="A65" s="343">
        <v>5</v>
      </c>
      <c r="B65" s="60"/>
      <c r="C65" s="60"/>
      <c r="D65" s="60"/>
      <c r="E65" s="63"/>
      <c r="F65" s="64"/>
      <c r="G65" s="162" t="s">
        <v>487</v>
      </c>
      <c r="H65" s="78" t="s">
        <v>495</v>
      </c>
      <c r="I65" s="194">
        <v>2030</v>
      </c>
      <c r="J65" s="146">
        <v>30</v>
      </c>
      <c r="K65" s="195">
        <v>1</v>
      </c>
      <c r="L65" s="153"/>
      <c r="M65" s="196">
        <f>J65*K65/60</f>
        <v>0.5</v>
      </c>
      <c r="N65" s="196">
        <f>J65*L65/60</f>
        <v>0</v>
      </c>
      <c r="O65" s="233"/>
      <c r="P65" s="197"/>
      <c r="Q65" s="198"/>
      <c r="R65" s="153"/>
      <c r="S65" s="199"/>
      <c r="T65" s="156" t="s">
        <v>496</v>
      </c>
      <c r="U65" s="197" t="s">
        <v>436</v>
      </c>
      <c r="V65" s="256"/>
    </row>
    <row r="66" spans="1:22" s="41" customFormat="1" ht="69" customHeight="1" x14ac:dyDescent="0.25">
      <c r="A66" s="343">
        <v>5</v>
      </c>
      <c r="B66" s="60"/>
      <c r="C66" s="60"/>
      <c r="D66" s="60"/>
      <c r="E66" s="63"/>
      <c r="F66" s="64"/>
      <c r="G66" s="162" t="s">
        <v>491</v>
      </c>
      <c r="H66" s="78" t="s">
        <v>492</v>
      </c>
      <c r="I66" s="194">
        <v>2030</v>
      </c>
      <c r="J66" s="146">
        <f>104*2</f>
        <v>208</v>
      </c>
      <c r="K66" s="153">
        <v>1</v>
      </c>
      <c r="L66" s="153"/>
      <c r="M66" s="196">
        <f>J66*K66/60</f>
        <v>3.4666666666666668</v>
      </c>
      <c r="N66" s="196">
        <f>J66*L66/60</f>
        <v>0</v>
      </c>
      <c r="O66" s="155" t="s">
        <v>624</v>
      </c>
      <c r="P66" s="197"/>
      <c r="Q66" s="198" t="s">
        <v>424</v>
      </c>
      <c r="R66" s="153"/>
      <c r="S66" s="199"/>
      <c r="T66" s="156"/>
      <c r="U66" s="197" t="s">
        <v>436</v>
      </c>
      <c r="V66" s="256"/>
    </row>
    <row r="67" spans="1:22" s="41" customFormat="1" ht="102" customHeight="1" thickBot="1" x14ac:dyDescent="0.3">
      <c r="A67" s="343">
        <v>5</v>
      </c>
      <c r="B67" s="60"/>
      <c r="C67" s="60"/>
      <c r="D67" s="60"/>
      <c r="E67" s="63"/>
      <c r="F67" s="64"/>
      <c r="G67" s="170" t="s">
        <v>632</v>
      </c>
      <c r="H67" s="312" t="s">
        <v>634</v>
      </c>
      <c r="I67" s="234">
        <v>2030</v>
      </c>
      <c r="J67" s="164">
        <f>20*9</f>
        <v>180</v>
      </c>
      <c r="K67" s="235">
        <v>1</v>
      </c>
      <c r="L67" s="235"/>
      <c r="M67" s="236">
        <f>J67*K67/60</f>
        <v>3</v>
      </c>
      <c r="N67" s="236">
        <f>J67*L67/60</f>
        <v>0</v>
      </c>
      <c r="O67" s="313" t="s">
        <v>635</v>
      </c>
      <c r="P67" s="315" t="s">
        <v>636</v>
      </c>
      <c r="Q67" s="313"/>
      <c r="R67" s="239"/>
      <c r="S67" s="331"/>
      <c r="T67" s="313" t="s">
        <v>657</v>
      </c>
      <c r="U67" s="237" t="s">
        <v>436</v>
      </c>
      <c r="V67" s="255">
        <f>Futterlauberlöse!A33*(1+3%)^5</f>
        <v>7.4981847125723986</v>
      </c>
    </row>
    <row r="68" spans="1:22" s="94" customFormat="1" ht="36" customHeight="1" thickBot="1" x14ac:dyDescent="0.3">
      <c r="A68" s="122">
        <v>5</v>
      </c>
      <c r="B68" s="138">
        <f>(SUM(M65:M67)*D8)*(1+2%)^5</f>
        <v>169.21878443712001</v>
      </c>
      <c r="C68" s="138">
        <f>(SUM(N65:N67)*D9)*(1+2%)^5</f>
        <v>0</v>
      </c>
      <c r="D68" s="123">
        <f>SUM(S65:S67)</f>
        <v>0</v>
      </c>
      <c r="E68" s="139">
        <f>SUM(B68:D68)</f>
        <v>169.21878443712001</v>
      </c>
      <c r="F68" s="126">
        <f>SUM(V65:V67)</f>
        <v>7.4981847125723986</v>
      </c>
      <c r="G68" s="108"/>
      <c r="H68" s="83"/>
      <c r="I68" s="84"/>
      <c r="J68" s="85"/>
      <c r="K68" s="131"/>
      <c r="L68" s="87"/>
      <c r="M68" s="131"/>
      <c r="N68" s="87"/>
      <c r="O68" s="88"/>
      <c r="P68" s="89"/>
      <c r="Q68" s="90"/>
      <c r="R68" s="86"/>
      <c r="S68" s="91"/>
      <c r="T68" s="92"/>
      <c r="U68" s="93"/>
      <c r="V68" s="255"/>
    </row>
    <row r="69" spans="1:22" s="41" customFormat="1" ht="83.25" customHeight="1" x14ac:dyDescent="0.25">
      <c r="A69" s="343">
        <v>6</v>
      </c>
      <c r="B69" s="60"/>
      <c r="C69" s="60"/>
      <c r="D69" s="60"/>
      <c r="E69" s="63"/>
      <c r="F69" s="64"/>
      <c r="G69" s="162" t="s">
        <v>487</v>
      </c>
      <c r="H69" s="78" t="s">
        <v>495</v>
      </c>
      <c r="I69" s="194">
        <v>2031</v>
      </c>
      <c r="J69" s="146">
        <v>30</v>
      </c>
      <c r="K69" s="195">
        <v>1</v>
      </c>
      <c r="L69" s="153"/>
      <c r="M69" s="196">
        <f>J69*K69/60</f>
        <v>0.5</v>
      </c>
      <c r="N69" s="196">
        <f>J69*L69/60</f>
        <v>0</v>
      </c>
      <c r="O69" s="233"/>
      <c r="P69" s="197"/>
      <c r="Q69" s="198"/>
      <c r="R69" s="153"/>
      <c r="S69" s="199"/>
      <c r="T69" s="156"/>
      <c r="U69" s="197" t="s">
        <v>436</v>
      </c>
      <c r="V69" s="256"/>
    </row>
    <row r="70" spans="1:22" s="41" customFormat="1" ht="69" customHeight="1" x14ac:dyDescent="0.25">
      <c r="A70" s="343">
        <v>6</v>
      </c>
      <c r="B70" s="60"/>
      <c r="C70" s="60"/>
      <c r="D70" s="60"/>
      <c r="E70" s="63"/>
      <c r="F70" s="64"/>
      <c r="G70" s="162" t="s">
        <v>491</v>
      </c>
      <c r="H70" s="78" t="s">
        <v>492</v>
      </c>
      <c r="I70" s="194">
        <v>2031</v>
      </c>
      <c r="J70" s="146">
        <f>104*2</f>
        <v>208</v>
      </c>
      <c r="K70" s="153">
        <v>1</v>
      </c>
      <c r="L70" s="153"/>
      <c r="M70" s="196">
        <f>J70*K70/60</f>
        <v>3.4666666666666668</v>
      </c>
      <c r="N70" s="196">
        <f>J70*L70/60</f>
        <v>0</v>
      </c>
      <c r="O70" s="155" t="s">
        <v>624</v>
      </c>
      <c r="P70" s="197"/>
      <c r="Q70" s="198" t="s">
        <v>424</v>
      </c>
      <c r="R70" s="153"/>
      <c r="S70" s="199"/>
      <c r="T70" s="156"/>
      <c r="U70" s="197" t="s">
        <v>436</v>
      </c>
      <c r="V70" s="256"/>
    </row>
    <row r="71" spans="1:22" s="41" customFormat="1" ht="69" customHeight="1" thickBot="1" x14ac:dyDescent="0.3">
      <c r="A71" s="343">
        <v>6</v>
      </c>
      <c r="B71" s="60"/>
      <c r="C71" s="60"/>
      <c r="D71" s="60"/>
      <c r="E71" s="63"/>
      <c r="F71" s="64"/>
      <c r="G71" s="170" t="s">
        <v>632</v>
      </c>
      <c r="H71" s="312" t="s">
        <v>634</v>
      </c>
      <c r="I71" s="234">
        <v>2031</v>
      </c>
      <c r="J71" s="164">
        <f>20*9</f>
        <v>180</v>
      </c>
      <c r="K71" s="235">
        <v>1</v>
      </c>
      <c r="L71" s="235"/>
      <c r="M71" s="236">
        <f>J71*K71/60</f>
        <v>3</v>
      </c>
      <c r="N71" s="236">
        <f>J71*L71/60</f>
        <v>0</v>
      </c>
      <c r="O71" s="313" t="s">
        <v>635</v>
      </c>
      <c r="P71" s="315" t="s">
        <v>636</v>
      </c>
      <c r="Q71" s="313"/>
      <c r="R71" s="239"/>
      <c r="S71" s="331"/>
      <c r="T71" s="313" t="s">
        <v>623</v>
      </c>
      <c r="U71" s="237" t="s">
        <v>436</v>
      </c>
      <c r="V71" s="255">
        <f>Futterlauberlöse!A33*(1+3%)^6</f>
        <v>7.723130253949571</v>
      </c>
    </row>
    <row r="72" spans="1:22" s="94" customFormat="1" ht="36" customHeight="1" thickBot="1" x14ac:dyDescent="0.3">
      <c r="A72" s="122">
        <v>6</v>
      </c>
      <c r="B72" s="138">
        <f>(SUM(M69:M71)*D8)*(1+2%)^6</f>
        <v>172.60316012586242</v>
      </c>
      <c r="C72" s="138">
        <f>(SUM(N69:N71)*D9)*(1+2%)^6</f>
        <v>0</v>
      </c>
      <c r="D72" s="123">
        <f>SUM(S69:S71)</f>
        <v>0</v>
      </c>
      <c r="E72" s="139">
        <f>SUM(B72:D72)</f>
        <v>172.60316012586242</v>
      </c>
      <c r="F72" s="126">
        <f>SUM(V69:V71)</f>
        <v>7.723130253949571</v>
      </c>
      <c r="G72" s="238"/>
      <c r="H72" s="83"/>
      <c r="I72" s="325"/>
      <c r="J72" s="85"/>
      <c r="K72" s="87"/>
      <c r="L72" s="87"/>
      <c r="M72" s="87"/>
      <c r="N72" s="87"/>
      <c r="O72" s="88"/>
      <c r="P72" s="326"/>
      <c r="Q72" s="327"/>
      <c r="R72" s="328"/>
      <c r="S72" s="329"/>
      <c r="T72" s="92"/>
      <c r="U72" s="232"/>
      <c r="V72" s="255"/>
    </row>
    <row r="73" spans="1:22" s="41" customFormat="1" ht="54" customHeight="1" x14ac:dyDescent="0.25">
      <c r="A73" s="343">
        <v>7</v>
      </c>
      <c r="B73" s="60"/>
      <c r="C73" s="60"/>
      <c r="D73" s="60"/>
      <c r="E73" s="63"/>
      <c r="F73" s="64"/>
      <c r="G73" s="162" t="s">
        <v>487</v>
      </c>
      <c r="H73" s="78" t="s">
        <v>587</v>
      </c>
      <c r="I73" s="194">
        <v>2032</v>
      </c>
      <c r="J73" s="146">
        <v>15</v>
      </c>
      <c r="K73" s="195">
        <v>1</v>
      </c>
      <c r="L73" s="153"/>
      <c r="M73" s="196">
        <f>J73*K73/60</f>
        <v>0.25</v>
      </c>
      <c r="N73" s="196">
        <f>J73*L73/60</f>
        <v>0</v>
      </c>
      <c r="O73" s="233"/>
      <c r="P73" s="197"/>
      <c r="Q73" s="198"/>
      <c r="R73" s="153"/>
      <c r="S73" s="199"/>
      <c r="T73" s="156" t="s">
        <v>496</v>
      </c>
      <c r="U73" s="197" t="s">
        <v>436</v>
      </c>
      <c r="V73" s="256"/>
    </row>
    <row r="74" spans="1:22" s="41" customFormat="1" ht="68.25" customHeight="1" x14ac:dyDescent="0.25">
      <c r="A74" s="343">
        <v>7</v>
      </c>
      <c r="B74" s="60"/>
      <c r="C74" s="60"/>
      <c r="D74" s="60"/>
      <c r="E74" s="63"/>
      <c r="F74" s="64"/>
      <c r="G74" s="162" t="s">
        <v>491</v>
      </c>
      <c r="H74" s="78" t="s">
        <v>490</v>
      </c>
      <c r="I74" s="194">
        <v>2032</v>
      </c>
      <c r="J74" s="146">
        <f>104*2</f>
        <v>208</v>
      </c>
      <c r="K74" s="153">
        <v>1</v>
      </c>
      <c r="L74" s="153"/>
      <c r="M74" s="196">
        <f>J74*K74/60</f>
        <v>3.4666666666666668</v>
      </c>
      <c r="N74" s="196">
        <f>J74*L74/60</f>
        <v>0</v>
      </c>
      <c r="O74" s="155" t="s">
        <v>624</v>
      </c>
      <c r="P74" s="197"/>
      <c r="Q74" s="198" t="s">
        <v>493</v>
      </c>
      <c r="R74" s="153"/>
      <c r="S74" s="199"/>
      <c r="T74" s="156"/>
      <c r="U74" s="197" t="s">
        <v>436</v>
      </c>
      <c r="V74" s="256"/>
    </row>
    <row r="75" spans="1:22" s="41" customFormat="1" ht="69" customHeight="1" thickBot="1" x14ac:dyDescent="0.3">
      <c r="A75" s="343">
        <v>7</v>
      </c>
      <c r="B75" s="60"/>
      <c r="C75" s="60"/>
      <c r="D75" s="60"/>
      <c r="E75" s="63"/>
      <c r="F75" s="64"/>
      <c r="G75" s="170" t="s">
        <v>632</v>
      </c>
      <c r="H75" s="312" t="s">
        <v>634</v>
      </c>
      <c r="I75" s="234">
        <v>2032</v>
      </c>
      <c r="J75" s="164">
        <f>20*9</f>
        <v>180</v>
      </c>
      <c r="K75" s="235">
        <v>1</v>
      </c>
      <c r="L75" s="235"/>
      <c r="M75" s="236">
        <f>J75*K75/60</f>
        <v>3</v>
      </c>
      <c r="N75" s="236">
        <f>J75*L75/60</f>
        <v>0</v>
      </c>
      <c r="O75" s="313" t="s">
        <v>635</v>
      </c>
      <c r="P75" s="315" t="s">
        <v>636</v>
      </c>
      <c r="Q75" s="312"/>
      <c r="R75" s="239"/>
      <c r="S75" s="331"/>
      <c r="T75" s="313" t="s">
        <v>623</v>
      </c>
      <c r="U75" s="237" t="s">
        <v>436</v>
      </c>
      <c r="V75" s="255">
        <f>Futterlauberlöse!A32*(1+3%)^7</f>
        <v>11.364034516525798</v>
      </c>
    </row>
    <row r="76" spans="1:22" s="94" customFormat="1" ht="36" customHeight="1" thickBot="1" x14ac:dyDescent="0.3">
      <c r="A76" s="122">
        <v>7</v>
      </c>
      <c r="B76" s="138">
        <f>(SUM(M73:M75)*D8)*(1+2%)^7</f>
        <v>169.73745215630859</v>
      </c>
      <c r="C76" s="138">
        <f>(SUM(N73:N75)*D9)*(1+2%)^7</f>
        <v>0</v>
      </c>
      <c r="D76" s="123">
        <f>SUM(S73:S75)</f>
        <v>0</v>
      </c>
      <c r="E76" s="139">
        <f>SUM(B76:D76)</f>
        <v>169.73745215630859</v>
      </c>
      <c r="F76" s="126">
        <f>SUM(V73:V75)</f>
        <v>11.364034516525798</v>
      </c>
      <c r="G76" s="238"/>
      <c r="H76" s="83"/>
      <c r="I76" s="325"/>
      <c r="J76" s="85"/>
      <c r="K76" s="87"/>
      <c r="L76" s="87"/>
      <c r="M76" s="87"/>
      <c r="N76" s="87"/>
      <c r="O76" s="88"/>
      <c r="P76" s="326"/>
      <c r="Q76" s="327"/>
      <c r="R76" s="328"/>
      <c r="S76" s="329"/>
      <c r="T76" s="92"/>
      <c r="U76" s="232"/>
      <c r="V76" s="255"/>
    </row>
    <row r="77" spans="1:22" s="41" customFormat="1" ht="54" customHeight="1" x14ac:dyDescent="0.25">
      <c r="A77" s="343">
        <v>8</v>
      </c>
      <c r="B77" s="60"/>
      <c r="C77" s="60"/>
      <c r="D77" s="60"/>
      <c r="E77" s="63"/>
      <c r="F77" s="64"/>
      <c r="G77" s="162" t="s">
        <v>487</v>
      </c>
      <c r="H77" s="78" t="s">
        <v>498</v>
      </c>
      <c r="I77" s="194">
        <v>2033</v>
      </c>
      <c r="J77" s="146">
        <v>15</v>
      </c>
      <c r="K77" s="195">
        <v>1</v>
      </c>
      <c r="L77" s="153"/>
      <c r="M77" s="196">
        <f>J77*K77/60</f>
        <v>0.25</v>
      </c>
      <c r="N77" s="196">
        <f>J77*L77/60</f>
        <v>0</v>
      </c>
      <c r="O77" s="233"/>
      <c r="P77" s="197"/>
      <c r="Q77" s="198"/>
      <c r="R77" s="153"/>
      <c r="S77" s="199"/>
      <c r="T77" s="156"/>
      <c r="U77" s="197" t="s">
        <v>436</v>
      </c>
      <c r="V77" s="256"/>
    </row>
    <row r="78" spans="1:22" s="41" customFormat="1" ht="67.5" customHeight="1" x14ac:dyDescent="0.25">
      <c r="A78" s="343">
        <v>8</v>
      </c>
      <c r="B78" s="60"/>
      <c r="C78" s="60"/>
      <c r="D78" s="60"/>
      <c r="E78" s="63"/>
      <c r="F78" s="64"/>
      <c r="G78" s="162" t="s">
        <v>491</v>
      </c>
      <c r="H78" s="78" t="s">
        <v>497</v>
      </c>
      <c r="I78" s="194">
        <v>2033</v>
      </c>
      <c r="J78" s="146">
        <f>104*2</f>
        <v>208</v>
      </c>
      <c r="K78" s="153">
        <v>1</v>
      </c>
      <c r="L78" s="153"/>
      <c r="M78" s="196">
        <f>J78*K78/60</f>
        <v>3.4666666666666668</v>
      </c>
      <c r="N78" s="196">
        <f>J78*L78/60</f>
        <v>0</v>
      </c>
      <c r="O78" s="155" t="s">
        <v>624</v>
      </c>
      <c r="P78" s="197"/>
      <c r="Q78" s="198" t="s">
        <v>493</v>
      </c>
      <c r="R78" s="153"/>
      <c r="S78" s="199"/>
      <c r="T78" s="156"/>
      <c r="U78" s="197" t="s">
        <v>436</v>
      </c>
      <c r="V78" s="256"/>
    </row>
    <row r="79" spans="1:22" s="41" customFormat="1" ht="69" customHeight="1" thickBot="1" x14ac:dyDescent="0.3">
      <c r="A79" s="343">
        <v>8</v>
      </c>
      <c r="B79" s="60"/>
      <c r="C79" s="60"/>
      <c r="D79" s="60"/>
      <c r="E79" s="63"/>
      <c r="F79" s="64"/>
      <c r="G79" s="170" t="s">
        <v>632</v>
      </c>
      <c r="H79" s="312" t="s">
        <v>634</v>
      </c>
      <c r="I79" s="234">
        <v>2033</v>
      </c>
      <c r="J79" s="164">
        <f>20*9</f>
        <v>180</v>
      </c>
      <c r="K79" s="235">
        <v>1</v>
      </c>
      <c r="L79" s="235"/>
      <c r="M79" s="236">
        <f>J79*K79/60</f>
        <v>3</v>
      </c>
      <c r="N79" s="236">
        <f>J79*L79/60</f>
        <v>0</v>
      </c>
      <c r="O79" s="313" t="s">
        <v>635</v>
      </c>
      <c r="P79" s="315" t="s">
        <v>636</v>
      </c>
      <c r="Q79" s="313"/>
      <c r="R79" s="239"/>
      <c r="S79" s="331"/>
      <c r="T79" s="313" t="s">
        <v>623</v>
      </c>
      <c r="U79" s="237" t="s">
        <v>436</v>
      </c>
      <c r="V79" s="255">
        <f>Futterlauberlöse!A32*(1+3%)^8</f>
        <v>11.704955552021572</v>
      </c>
    </row>
    <row r="80" spans="1:22" s="94" customFormat="1" ht="36" customHeight="1" thickBot="1" x14ac:dyDescent="0.3">
      <c r="A80" s="122">
        <v>8</v>
      </c>
      <c r="B80" s="138">
        <f>(SUM(M77:M79)*D8)*(1+2%)^8</f>
        <v>173.13220119943477</v>
      </c>
      <c r="C80" s="138">
        <f>(SUM(N77:N79)*D9)*(1+2%)^8</f>
        <v>0</v>
      </c>
      <c r="D80" s="123">
        <f>SUM(S77:S79)</f>
        <v>0</v>
      </c>
      <c r="E80" s="139">
        <f>SUM(B80:D80)</f>
        <v>173.13220119943477</v>
      </c>
      <c r="F80" s="126">
        <f>SUM(V77:V79)</f>
        <v>11.704955552021572</v>
      </c>
      <c r="G80" s="238"/>
      <c r="H80" s="83"/>
      <c r="I80" s="325"/>
      <c r="J80" s="85"/>
      <c r="K80" s="87"/>
      <c r="L80" s="87"/>
      <c r="M80" s="87"/>
      <c r="N80" s="87"/>
      <c r="O80" s="88"/>
      <c r="P80" s="326"/>
      <c r="Q80" s="327"/>
      <c r="R80" s="328"/>
      <c r="S80" s="329"/>
      <c r="T80" s="92"/>
      <c r="U80" s="232"/>
      <c r="V80" s="255"/>
    </row>
    <row r="81" spans="1:22" s="41" customFormat="1" ht="54" customHeight="1" x14ac:dyDescent="0.25">
      <c r="A81" s="343">
        <v>9</v>
      </c>
      <c r="B81" s="60"/>
      <c r="C81" s="60"/>
      <c r="D81" s="60"/>
      <c r="E81" s="63"/>
      <c r="F81" s="64"/>
      <c r="G81" s="162" t="s">
        <v>487</v>
      </c>
      <c r="H81" s="78" t="s">
        <v>498</v>
      </c>
      <c r="I81" s="194">
        <v>2034</v>
      </c>
      <c r="J81" s="146">
        <v>15</v>
      </c>
      <c r="K81" s="195">
        <v>1</v>
      </c>
      <c r="L81" s="153"/>
      <c r="M81" s="196">
        <f>J81*K81/60</f>
        <v>0.25</v>
      </c>
      <c r="N81" s="196">
        <f>J81*L81/60</f>
        <v>0</v>
      </c>
      <c r="O81" s="233"/>
      <c r="P81" s="197"/>
      <c r="Q81" s="198"/>
      <c r="R81" s="153"/>
      <c r="S81" s="199"/>
      <c r="T81" s="156"/>
      <c r="U81" s="197" t="s">
        <v>436</v>
      </c>
      <c r="V81" s="256"/>
    </row>
    <row r="82" spans="1:22" s="41" customFormat="1" ht="71.25" customHeight="1" x14ac:dyDescent="0.25">
      <c r="A82" s="343">
        <v>9</v>
      </c>
      <c r="B82" s="60"/>
      <c r="C82" s="60"/>
      <c r="D82" s="60"/>
      <c r="E82" s="63"/>
      <c r="F82" s="64"/>
      <c r="G82" s="162" t="s">
        <v>491</v>
      </c>
      <c r="H82" s="78" t="s">
        <v>499</v>
      </c>
      <c r="I82" s="194">
        <v>2034</v>
      </c>
      <c r="J82" s="146">
        <f>104*3</f>
        <v>312</v>
      </c>
      <c r="K82" s="153">
        <v>1</v>
      </c>
      <c r="L82" s="153"/>
      <c r="M82" s="196">
        <f>J82*K82/60</f>
        <v>5.2</v>
      </c>
      <c r="N82" s="196">
        <f>J82*L82/60</f>
        <v>0</v>
      </c>
      <c r="O82" s="155" t="s">
        <v>626</v>
      </c>
      <c r="P82" s="197"/>
      <c r="Q82" s="198" t="s">
        <v>500</v>
      </c>
      <c r="R82" s="153"/>
      <c r="S82" s="199"/>
      <c r="T82" s="156" t="s">
        <v>501</v>
      </c>
      <c r="U82" s="163" t="s">
        <v>502</v>
      </c>
      <c r="V82" s="257"/>
    </row>
    <row r="83" spans="1:22" s="41" customFormat="1" ht="69" customHeight="1" thickBot="1" x14ac:dyDescent="0.3">
      <c r="A83" s="343">
        <v>9</v>
      </c>
      <c r="B83" s="60"/>
      <c r="C83" s="60"/>
      <c r="D83" s="60"/>
      <c r="E83" s="63"/>
      <c r="F83" s="64"/>
      <c r="G83" s="170" t="s">
        <v>632</v>
      </c>
      <c r="H83" s="312" t="s">
        <v>634</v>
      </c>
      <c r="I83" s="234">
        <v>2034</v>
      </c>
      <c r="J83" s="164">
        <f>20*9</f>
        <v>180</v>
      </c>
      <c r="K83" s="235">
        <v>1</v>
      </c>
      <c r="L83" s="235"/>
      <c r="M83" s="236">
        <f>J83*K83/60</f>
        <v>3</v>
      </c>
      <c r="N83" s="236">
        <f>J83*L83/60</f>
        <v>0</v>
      </c>
      <c r="O83" s="313" t="s">
        <v>635</v>
      </c>
      <c r="P83" s="315" t="s">
        <v>636</v>
      </c>
      <c r="Q83" s="168"/>
      <c r="R83" s="165"/>
      <c r="S83" s="166"/>
      <c r="T83" s="313" t="s">
        <v>623</v>
      </c>
      <c r="U83" s="237" t="s">
        <v>436</v>
      </c>
      <c r="V83" s="255">
        <f>Futterlauberlöse!A32*(1+3%)^8</f>
        <v>11.704955552021572</v>
      </c>
    </row>
    <row r="84" spans="1:22" s="94" customFormat="1" ht="36" customHeight="1" thickBot="1" x14ac:dyDescent="0.3">
      <c r="A84" s="122">
        <v>9</v>
      </c>
      <c r="B84" s="138">
        <f>(SUM(M81:M83)*D8)*(1+2%)^9</f>
        <v>222.16770850688755</v>
      </c>
      <c r="C84" s="138">
        <f>(SUM(N81:N83)*D9)*(1+2%)^9</f>
        <v>0</v>
      </c>
      <c r="D84" s="123">
        <f>SUM(S81:S83)</f>
        <v>0</v>
      </c>
      <c r="E84" s="139">
        <f>SUM(B84:D84)</f>
        <v>222.16770850688755</v>
      </c>
      <c r="F84" s="126">
        <f>SUM(V81:V83)</f>
        <v>11.704955552021572</v>
      </c>
      <c r="G84" s="238"/>
      <c r="H84" s="83"/>
      <c r="I84" s="325"/>
      <c r="J84" s="85"/>
      <c r="K84" s="87"/>
      <c r="L84" s="87"/>
      <c r="M84" s="87"/>
      <c r="N84" s="87"/>
      <c r="O84" s="88"/>
      <c r="P84" s="326"/>
      <c r="Q84" s="327"/>
      <c r="R84" s="328"/>
      <c r="S84" s="329"/>
      <c r="T84" s="92"/>
      <c r="U84" s="232"/>
      <c r="V84" s="255"/>
    </row>
    <row r="85" spans="1:22" s="41" customFormat="1" ht="54" customHeight="1" x14ac:dyDescent="0.25">
      <c r="A85" s="343">
        <v>10</v>
      </c>
      <c r="B85" s="60"/>
      <c r="C85" s="60"/>
      <c r="D85" s="60"/>
      <c r="E85" s="63"/>
      <c r="F85" s="64"/>
      <c r="G85" s="162" t="s">
        <v>487</v>
      </c>
      <c r="H85" s="78" t="s">
        <v>498</v>
      </c>
      <c r="I85" s="194">
        <v>2035</v>
      </c>
      <c r="J85" s="146">
        <v>15</v>
      </c>
      <c r="K85" s="195">
        <v>1</v>
      </c>
      <c r="L85" s="153"/>
      <c r="M85" s="196">
        <f>J85*K85/60</f>
        <v>0.25</v>
      </c>
      <c r="N85" s="196">
        <f>J85*L85/60</f>
        <v>0</v>
      </c>
      <c r="O85" s="233"/>
      <c r="P85" s="197"/>
      <c r="Q85" s="198"/>
      <c r="R85" s="153"/>
      <c r="S85" s="199"/>
      <c r="T85" s="156"/>
      <c r="U85" s="197" t="s">
        <v>436</v>
      </c>
      <c r="V85" s="256"/>
    </row>
    <row r="86" spans="1:22" s="41" customFormat="1" ht="66" customHeight="1" x14ac:dyDescent="0.25">
      <c r="A86" s="343">
        <v>10</v>
      </c>
      <c r="B86" s="60"/>
      <c r="C86" s="60"/>
      <c r="D86" s="60"/>
      <c r="E86" s="63"/>
      <c r="F86" s="64"/>
      <c r="G86" s="162" t="s">
        <v>491</v>
      </c>
      <c r="H86" s="78" t="s">
        <v>499</v>
      </c>
      <c r="I86" s="194">
        <v>2035</v>
      </c>
      <c r="J86" s="146">
        <f>104*3</f>
        <v>312</v>
      </c>
      <c r="K86" s="153">
        <v>1</v>
      </c>
      <c r="L86" s="153"/>
      <c r="M86" s="196">
        <f>J86*K86/60</f>
        <v>5.2</v>
      </c>
      <c r="N86" s="196">
        <f>J86*L86/60</f>
        <v>0</v>
      </c>
      <c r="O86" s="155" t="s">
        <v>626</v>
      </c>
      <c r="P86" s="197"/>
      <c r="Q86" s="198" t="s">
        <v>500</v>
      </c>
      <c r="R86" s="153"/>
      <c r="S86" s="199"/>
      <c r="T86" s="156" t="s">
        <v>501</v>
      </c>
      <c r="U86" s="163" t="s">
        <v>502</v>
      </c>
      <c r="V86" s="257"/>
    </row>
    <row r="87" spans="1:22" s="41" customFormat="1" ht="69" customHeight="1" thickBot="1" x14ac:dyDescent="0.3">
      <c r="A87" s="343">
        <v>10</v>
      </c>
      <c r="B87" s="60"/>
      <c r="C87" s="60"/>
      <c r="D87" s="60"/>
      <c r="E87" s="63"/>
      <c r="F87" s="64"/>
      <c r="G87" s="170" t="s">
        <v>632</v>
      </c>
      <c r="H87" s="312" t="s">
        <v>634</v>
      </c>
      <c r="I87" s="234">
        <v>2035</v>
      </c>
      <c r="J87" s="164">
        <f>20*9</f>
        <v>180</v>
      </c>
      <c r="K87" s="235">
        <v>1</v>
      </c>
      <c r="L87" s="235"/>
      <c r="M87" s="236">
        <f>J87*K87/60</f>
        <v>3</v>
      </c>
      <c r="N87" s="236">
        <f>J87*L87/60</f>
        <v>0</v>
      </c>
      <c r="O87" s="313" t="s">
        <v>635</v>
      </c>
      <c r="P87" s="315" t="s">
        <v>636</v>
      </c>
      <c r="Q87" s="313"/>
      <c r="R87" s="239"/>
      <c r="S87" s="331"/>
      <c r="T87" s="313" t="s">
        <v>623</v>
      </c>
      <c r="U87" s="237" t="s">
        <v>436</v>
      </c>
      <c r="V87" s="255">
        <f>Futterlauberlöse!A32*(1+3%)^10</f>
        <v>12.417787345139686</v>
      </c>
    </row>
    <row r="88" spans="1:22" s="94" customFormat="1" ht="36" customHeight="1" thickBot="1" x14ac:dyDescent="0.3">
      <c r="A88" s="122">
        <v>10</v>
      </c>
      <c r="B88" s="138">
        <f>(SUM(M85:M87)*D8)*(1+2%)^10</f>
        <v>226.61106267702533</v>
      </c>
      <c r="C88" s="138">
        <f>(SUM(N85:N87)*D9)*(1+2%)^10</f>
        <v>0</v>
      </c>
      <c r="D88" s="123">
        <f>SUM(S85:S87)</f>
        <v>0</v>
      </c>
      <c r="E88" s="139">
        <f>SUM(B88:D88)</f>
        <v>226.61106267702533</v>
      </c>
      <c r="F88" s="126">
        <f>SUM(V85:V87)</f>
        <v>12.417787345139686</v>
      </c>
      <c r="G88" s="108"/>
      <c r="H88" s="83"/>
      <c r="I88" s="84"/>
      <c r="J88" s="85"/>
      <c r="K88" s="131"/>
      <c r="L88" s="87"/>
      <c r="M88" s="131"/>
      <c r="N88" s="87"/>
      <c r="O88" s="88"/>
      <c r="P88" s="89"/>
      <c r="Q88" s="90"/>
      <c r="R88" s="86"/>
      <c r="S88" s="91"/>
      <c r="T88" s="92"/>
      <c r="U88" s="93"/>
      <c r="V88" s="255"/>
    </row>
    <row r="89" spans="1:22" s="41" customFormat="1" ht="54" customHeight="1" x14ac:dyDescent="0.25">
      <c r="A89" s="343">
        <v>11</v>
      </c>
      <c r="B89" s="60"/>
      <c r="C89" s="60"/>
      <c r="D89" s="60"/>
      <c r="E89" s="63"/>
      <c r="F89" s="64"/>
      <c r="G89" s="162" t="s">
        <v>487</v>
      </c>
      <c r="H89" s="78" t="s">
        <v>498</v>
      </c>
      <c r="I89" s="194">
        <v>2036</v>
      </c>
      <c r="J89" s="146">
        <v>15</v>
      </c>
      <c r="K89" s="195">
        <v>1</v>
      </c>
      <c r="L89" s="153"/>
      <c r="M89" s="196">
        <f>J89*K89/60</f>
        <v>0.25</v>
      </c>
      <c r="N89" s="196">
        <f>J89*L89/60</f>
        <v>0</v>
      </c>
      <c r="O89" s="233"/>
      <c r="P89" s="197"/>
      <c r="Q89" s="198"/>
      <c r="R89" s="153"/>
      <c r="S89" s="199"/>
      <c r="T89" s="156"/>
      <c r="U89" s="197" t="s">
        <v>436</v>
      </c>
      <c r="V89" s="256"/>
    </row>
    <row r="90" spans="1:22" s="41" customFormat="1" ht="71.25" customHeight="1" x14ac:dyDescent="0.25">
      <c r="A90" s="343">
        <v>11</v>
      </c>
      <c r="B90" s="60"/>
      <c r="C90" s="60"/>
      <c r="D90" s="60"/>
      <c r="E90" s="63"/>
      <c r="F90" s="64"/>
      <c r="G90" s="162" t="s">
        <v>491</v>
      </c>
      <c r="H90" s="78" t="s">
        <v>499</v>
      </c>
      <c r="I90" s="194">
        <v>2036</v>
      </c>
      <c r="J90" s="146">
        <f>104*4</f>
        <v>416</v>
      </c>
      <c r="K90" s="153">
        <v>1</v>
      </c>
      <c r="L90" s="153"/>
      <c r="M90" s="196">
        <f>J90*K90/60</f>
        <v>6.9333333333333336</v>
      </c>
      <c r="N90" s="196">
        <f>J90*L90/60</f>
        <v>0</v>
      </c>
      <c r="O90" s="155" t="s">
        <v>627</v>
      </c>
      <c r="P90" s="197"/>
      <c r="Q90" s="198" t="s">
        <v>500</v>
      </c>
      <c r="R90" s="153"/>
      <c r="S90" s="199"/>
      <c r="T90" s="156" t="s">
        <v>588</v>
      </c>
      <c r="U90" s="163" t="s">
        <v>502</v>
      </c>
      <c r="V90" s="257"/>
    </row>
    <row r="91" spans="1:22" s="41" customFormat="1" ht="69" customHeight="1" thickBot="1" x14ac:dyDescent="0.3">
      <c r="A91" s="343">
        <v>11</v>
      </c>
      <c r="B91" s="60"/>
      <c r="C91" s="60"/>
      <c r="D91" s="60"/>
      <c r="E91" s="63"/>
      <c r="F91" s="64"/>
      <c r="G91" s="170" t="s">
        <v>632</v>
      </c>
      <c r="H91" s="312" t="s">
        <v>634</v>
      </c>
      <c r="I91" s="234">
        <v>2036</v>
      </c>
      <c r="J91" s="164">
        <f>20*9</f>
        <v>180</v>
      </c>
      <c r="K91" s="235">
        <v>1</v>
      </c>
      <c r="L91" s="235"/>
      <c r="M91" s="236">
        <f>J91*K91/60</f>
        <v>3</v>
      </c>
      <c r="N91" s="236">
        <f>J91*L91/60</f>
        <v>0</v>
      </c>
      <c r="O91" s="313" t="s">
        <v>635</v>
      </c>
      <c r="P91" s="315" t="s">
        <v>636</v>
      </c>
      <c r="Q91" s="313"/>
      <c r="R91" s="239"/>
      <c r="S91" s="331"/>
      <c r="T91" s="313" t="s">
        <v>623</v>
      </c>
      <c r="U91" s="237" t="s">
        <v>436</v>
      </c>
      <c r="V91" s="255">
        <f>Futterlauberlöse!A32*(1+3%)^11</f>
        <v>12.790320965493876</v>
      </c>
    </row>
    <row r="92" spans="1:22" s="94" customFormat="1" ht="36" customHeight="1" thickBot="1" x14ac:dyDescent="0.3">
      <c r="A92" s="122">
        <v>11</v>
      </c>
      <c r="B92" s="138">
        <f>(SUM(M89:M91)*D8)*(1+2%)^11</f>
        <v>278.55729089068188</v>
      </c>
      <c r="C92" s="138">
        <f>(SUM(N89:N91)*D9)*(1+2%)^11</f>
        <v>0</v>
      </c>
      <c r="D92" s="123">
        <f>SUM(S89:S91)</f>
        <v>0</v>
      </c>
      <c r="E92" s="139">
        <f>SUM(B92:D92)</f>
        <v>278.55729089068188</v>
      </c>
      <c r="F92" s="126">
        <f>SUM(V89:V91)</f>
        <v>12.790320965493876</v>
      </c>
      <c r="G92" s="238"/>
      <c r="H92" s="83"/>
      <c r="I92" s="325"/>
      <c r="J92" s="85"/>
      <c r="K92" s="87"/>
      <c r="L92" s="87"/>
      <c r="M92" s="87"/>
      <c r="N92" s="87"/>
      <c r="O92" s="88"/>
      <c r="P92" s="326"/>
      <c r="Q92" s="327"/>
      <c r="R92" s="328"/>
      <c r="S92" s="329"/>
      <c r="T92" s="92"/>
      <c r="U92" s="232"/>
      <c r="V92" s="255"/>
    </row>
    <row r="93" spans="1:22" s="41" customFormat="1" ht="54" customHeight="1" x14ac:dyDescent="0.25">
      <c r="A93" s="343">
        <v>12</v>
      </c>
      <c r="B93" s="60"/>
      <c r="C93" s="60"/>
      <c r="D93" s="60"/>
      <c r="E93" s="63"/>
      <c r="F93" s="64"/>
      <c r="G93" s="162" t="s">
        <v>487</v>
      </c>
      <c r="H93" s="78" t="s">
        <v>498</v>
      </c>
      <c r="I93" s="194">
        <v>2037</v>
      </c>
      <c r="J93" s="146">
        <v>15</v>
      </c>
      <c r="K93" s="195">
        <v>1</v>
      </c>
      <c r="L93" s="153"/>
      <c r="M93" s="196">
        <f>J93*K93/60</f>
        <v>0.25</v>
      </c>
      <c r="N93" s="196">
        <f>J93*L93/60</f>
        <v>0</v>
      </c>
      <c r="O93" s="233"/>
      <c r="P93" s="197"/>
      <c r="Q93" s="198"/>
      <c r="R93" s="153"/>
      <c r="S93" s="199"/>
      <c r="T93" s="156"/>
      <c r="U93" s="197" t="s">
        <v>436</v>
      </c>
      <c r="V93" s="256"/>
    </row>
    <row r="94" spans="1:22" s="41" customFormat="1" ht="63.75" customHeight="1" x14ac:dyDescent="0.25">
      <c r="A94" s="343">
        <v>12</v>
      </c>
      <c r="B94" s="60"/>
      <c r="C94" s="60"/>
      <c r="D94" s="60"/>
      <c r="E94" s="63"/>
      <c r="F94" s="64"/>
      <c r="G94" s="162" t="s">
        <v>491</v>
      </c>
      <c r="H94" s="78" t="s">
        <v>499</v>
      </c>
      <c r="I94" s="194">
        <v>2037</v>
      </c>
      <c r="J94" s="146">
        <f>104*4</f>
        <v>416</v>
      </c>
      <c r="K94" s="153">
        <v>1</v>
      </c>
      <c r="L94" s="153"/>
      <c r="M94" s="196">
        <f>J94*K94/60</f>
        <v>6.9333333333333336</v>
      </c>
      <c r="N94" s="196">
        <f>J94*L94/60</f>
        <v>0</v>
      </c>
      <c r="O94" s="155" t="s">
        <v>627</v>
      </c>
      <c r="P94" s="197"/>
      <c r="Q94" s="198" t="s">
        <v>500</v>
      </c>
      <c r="R94" s="153"/>
      <c r="S94" s="199"/>
      <c r="T94" s="156" t="s">
        <v>501</v>
      </c>
      <c r="U94" s="163" t="s">
        <v>502</v>
      </c>
      <c r="V94" s="257"/>
    </row>
    <row r="95" spans="1:22" s="41" customFormat="1" ht="69" customHeight="1" thickBot="1" x14ac:dyDescent="0.3">
      <c r="A95" s="343">
        <v>12</v>
      </c>
      <c r="B95" s="60"/>
      <c r="C95" s="60"/>
      <c r="D95" s="60"/>
      <c r="E95" s="63"/>
      <c r="F95" s="64"/>
      <c r="G95" s="170" t="s">
        <v>632</v>
      </c>
      <c r="H95" s="312" t="s">
        <v>634</v>
      </c>
      <c r="I95" s="234">
        <v>2037</v>
      </c>
      <c r="J95" s="164">
        <f>20*9</f>
        <v>180</v>
      </c>
      <c r="K95" s="235">
        <v>1</v>
      </c>
      <c r="L95" s="235"/>
      <c r="M95" s="236">
        <f>J95*K95/60</f>
        <v>3</v>
      </c>
      <c r="N95" s="236">
        <f>J95*L95/60</f>
        <v>0</v>
      </c>
      <c r="O95" s="313" t="s">
        <v>635</v>
      </c>
      <c r="P95" s="315" t="s">
        <v>636</v>
      </c>
      <c r="Q95" s="313"/>
      <c r="R95" s="239"/>
      <c r="S95" s="331"/>
      <c r="T95" s="313" t="s">
        <v>623</v>
      </c>
      <c r="U95" s="237" t="s">
        <v>436</v>
      </c>
      <c r="V95" s="255">
        <f>Futterlauberlöse!A32*(1+3%)^12</f>
        <v>13.17403059445869</v>
      </c>
    </row>
    <row r="96" spans="1:22" s="94" customFormat="1" ht="36" customHeight="1" thickBot="1" x14ac:dyDescent="0.3">
      <c r="A96" s="122">
        <v>12</v>
      </c>
      <c r="B96" s="138">
        <f>(SUM(M93:M95)*D8)*(1+2%)^12</f>
        <v>284.12843670849554</v>
      </c>
      <c r="C96" s="138">
        <f>(SUM(N93:N95)*D9)*(1+2%)^12</f>
        <v>0</v>
      </c>
      <c r="D96" s="123">
        <f>SUM(S93:S95)</f>
        <v>0</v>
      </c>
      <c r="E96" s="139">
        <f>SUM(B96:D96)</f>
        <v>284.12843670849554</v>
      </c>
      <c r="F96" s="126">
        <f>SUM(V93:V95)</f>
        <v>13.17403059445869</v>
      </c>
      <c r="G96" s="238"/>
      <c r="H96" s="83"/>
      <c r="I96" s="325"/>
      <c r="J96" s="85"/>
      <c r="K96" s="87"/>
      <c r="L96" s="87"/>
      <c r="M96" s="87"/>
      <c r="N96" s="87"/>
      <c r="O96" s="88"/>
      <c r="P96" s="326"/>
      <c r="Q96" s="327"/>
      <c r="R96" s="328"/>
      <c r="S96" s="329"/>
      <c r="T96" s="92"/>
      <c r="U96" s="232"/>
      <c r="V96" s="255"/>
    </row>
    <row r="97" spans="1:22" s="41" customFormat="1" ht="54" customHeight="1" x14ac:dyDescent="0.25">
      <c r="A97" s="343">
        <v>13</v>
      </c>
      <c r="B97" s="60"/>
      <c r="C97" s="60"/>
      <c r="D97" s="60"/>
      <c r="E97" s="63"/>
      <c r="F97" s="64"/>
      <c r="G97" s="162" t="s">
        <v>487</v>
      </c>
      <c r="H97" s="78" t="s">
        <v>498</v>
      </c>
      <c r="I97" s="194">
        <v>2038</v>
      </c>
      <c r="J97" s="146">
        <v>15</v>
      </c>
      <c r="K97" s="195">
        <v>1</v>
      </c>
      <c r="L97" s="153"/>
      <c r="M97" s="196">
        <f>J97*K97/60</f>
        <v>0.25</v>
      </c>
      <c r="N97" s="196">
        <f>J97*L97/60</f>
        <v>0</v>
      </c>
      <c r="O97" s="233"/>
      <c r="P97" s="197"/>
      <c r="Q97" s="198"/>
      <c r="R97" s="153"/>
      <c r="S97" s="199"/>
      <c r="T97" s="156"/>
      <c r="U97" s="197" t="s">
        <v>436</v>
      </c>
      <c r="V97" s="256"/>
    </row>
    <row r="98" spans="1:22" s="41" customFormat="1" ht="67.5" customHeight="1" x14ac:dyDescent="0.25">
      <c r="A98" s="343">
        <v>13</v>
      </c>
      <c r="B98" s="60"/>
      <c r="C98" s="60"/>
      <c r="D98" s="60"/>
      <c r="E98" s="63"/>
      <c r="F98" s="64"/>
      <c r="G98" s="162" t="s">
        <v>491</v>
      </c>
      <c r="H98" s="78" t="s">
        <v>499</v>
      </c>
      <c r="I98" s="194">
        <v>2038</v>
      </c>
      <c r="J98" s="146">
        <f>104*5</f>
        <v>520</v>
      </c>
      <c r="K98" s="153">
        <v>1</v>
      </c>
      <c r="L98" s="153"/>
      <c r="M98" s="196">
        <f>J98*K98/60</f>
        <v>8.6666666666666661</v>
      </c>
      <c r="N98" s="196">
        <f>J98*L98/60</f>
        <v>0</v>
      </c>
      <c r="O98" s="155" t="s">
        <v>628</v>
      </c>
      <c r="P98" s="197"/>
      <c r="Q98" s="198" t="s">
        <v>500</v>
      </c>
      <c r="R98" s="153"/>
      <c r="S98" s="199"/>
      <c r="T98" s="156" t="s">
        <v>588</v>
      </c>
      <c r="U98" s="163" t="s">
        <v>502</v>
      </c>
      <c r="V98" s="257"/>
    </row>
    <row r="99" spans="1:22" s="41" customFormat="1" ht="69" customHeight="1" thickBot="1" x14ac:dyDescent="0.3">
      <c r="A99" s="343">
        <v>13</v>
      </c>
      <c r="B99" s="60"/>
      <c r="C99" s="60"/>
      <c r="D99" s="60"/>
      <c r="E99" s="63"/>
      <c r="F99" s="64"/>
      <c r="G99" s="170" t="s">
        <v>632</v>
      </c>
      <c r="H99" s="312" t="s">
        <v>634</v>
      </c>
      <c r="I99" s="234">
        <v>2038</v>
      </c>
      <c r="J99" s="164">
        <f>20*9</f>
        <v>180</v>
      </c>
      <c r="K99" s="235">
        <v>1</v>
      </c>
      <c r="L99" s="235"/>
      <c r="M99" s="236">
        <f>J99*K99/60</f>
        <v>3</v>
      </c>
      <c r="N99" s="236">
        <f>J99*L99/60</f>
        <v>0</v>
      </c>
      <c r="O99" s="313" t="s">
        <v>635</v>
      </c>
      <c r="P99" s="315" t="s">
        <v>636</v>
      </c>
      <c r="Q99" s="313"/>
      <c r="R99" s="239"/>
      <c r="S99" s="331"/>
      <c r="T99" s="313" t="s">
        <v>623</v>
      </c>
      <c r="U99" s="237" t="s">
        <v>436</v>
      </c>
      <c r="V99" s="255">
        <f>Futterlauberlöse!A32*(1+3%)^13</f>
        <v>13.569251512292452</v>
      </c>
    </row>
    <row r="100" spans="1:22" s="94" customFormat="1" ht="36" customHeight="1" thickBot="1" x14ac:dyDescent="0.3">
      <c r="A100" s="122">
        <v>13</v>
      </c>
      <c r="B100" s="138">
        <f>(SUM(M97:M99)*D8)*(1+2%)^13</f>
        <v>339.14053828397016</v>
      </c>
      <c r="C100" s="138">
        <f>(SUM(N97:N99)*D9)*(1+2%)^13</f>
        <v>0</v>
      </c>
      <c r="D100" s="123">
        <f>SUM(S97:S99)</f>
        <v>0</v>
      </c>
      <c r="E100" s="139">
        <f>SUM(B100:D100)</f>
        <v>339.14053828397016</v>
      </c>
      <c r="F100" s="126">
        <f>SUM(V97:V99)</f>
        <v>13.569251512292452</v>
      </c>
      <c r="G100" s="238"/>
      <c r="H100" s="83"/>
      <c r="I100" s="325"/>
      <c r="J100" s="85"/>
      <c r="K100" s="87"/>
      <c r="L100" s="87"/>
      <c r="M100" s="87"/>
      <c r="N100" s="87"/>
      <c r="O100" s="88"/>
      <c r="P100" s="326"/>
      <c r="Q100" s="327"/>
      <c r="R100" s="328"/>
      <c r="S100" s="329"/>
      <c r="T100" s="92"/>
      <c r="U100" s="232"/>
      <c r="V100" s="255"/>
    </row>
    <row r="101" spans="1:22" s="41" customFormat="1" ht="54" customHeight="1" x14ac:dyDescent="0.25">
      <c r="A101" s="343">
        <v>14</v>
      </c>
      <c r="B101" s="60"/>
      <c r="C101" s="60"/>
      <c r="D101" s="60"/>
      <c r="E101" s="63"/>
      <c r="F101" s="64"/>
      <c r="G101" s="162" t="s">
        <v>487</v>
      </c>
      <c r="H101" s="78" t="s">
        <v>498</v>
      </c>
      <c r="I101" s="194">
        <v>2039</v>
      </c>
      <c r="J101" s="146">
        <v>15</v>
      </c>
      <c r="K101" s="195">
        <v>1</v>
      </c>
      <c r="L101" s="153"/>
      <c r="M101" s="196">
        <f>J101*K101/60</f>
        <v>0.25</v>
      </c>
      <c r="N101" s="196">
        <f>J101*L101/60</f>
        <v>0</v>
      </c>
      <c r="O101" s="233"/>
      <c r="P101" s="197"/>
      <c r="Q101" s="198"/>
      <c r="R101" s="153"/>
      <c r="S101" s="199"/>
      <c r="T101" s="156"/>
      <c r="U101" s="197" t="s">
        <v>436</v>
      </c>
      <c r="V101" s="256"/>
    </row>
    <row r="102" spans="1:22" s="41" customFormat="1" ht="63.75" customHeight="1" x14ac:dyDescent="0.25">
      <c r="A102" s="343">
        <v>14</v>
      </c>
      <c r="B102" s="60"/>
      <c r="C102" s="60"/>
      <c r="D102" s="60"/>
      <c r="E102" s="63"/>
      <c r="F102" s="64"/>
      <c r="G102" s="162" t="s">
        <v>491</v>
      </c>
      <c r="H102" s="78" t="s">
        <v>499</v>
      </c>
      <c r="I102" s="194">
        <v>2039</v>
      </c>
      <c r="J102" s="146">
        <f>104*5</f>
        <v>520</v>
      </c>
      <c r="K102" s="153">
        <v>1</v>
      </c>
      <c r="L102" s="153"/>
      <c r="M102" s="196">
        <f>J102*K102/60</f>
        <v>8.6666666666666661</v>
      </c>
      <c r="N102" s="196">
        <f>J102*L102/60</f>
        <v>0</v>
      </c>
      <c r="O102" s="155" t="s">
        <v>628</v>
      </c>
      <c r="P102" s="197"/>
      <c r="Q102" s="198" t="s">
        <v>500</v>
      </c>
      <c r="R102" s="153"/>
      <c r="S102" s="199"/>
      <c r="T102" s="156" t="s">
        <v>501</v>
      </c>
      <c r="U102" s="163" t="s">
        <v>502</v>
      </c>
      <c r="V102" s="257"/>
    </row>
    <row r="103" spans="1:22" s="41" customFormat="1" ht="69" customHeight="1" thickBot="1" x14ac:dyDescent="0.3">
      <c r="A103" s="343">
        <v>14</v>
      </c>
      <c r="B103" s="60"/>
      <c r="C103" s="60"/>
      <c r="D103" s="60"/>
      <c r="E103" s="63"/>
      <c r="F103" s="64"/>
      <c r="G103" s="170" t="s">
        <v>632</v>
      </c>
      <c r="H103" s="312" t="s">
        <v>634</v>
      </c>
      <c r="I103" s="234">
        <v>2039</v>
      </c>
      <c r="J103" s="164">
        <f>20*9</f>
        <v>180</v>
      </c>
      <c r="K103" s="235">
        <v>1</v>
      </c>
      <c r="L103" s="235"/>
      <c r="M103" s="236">
        <f>J103*K103/60</f>
        <v>3</v>
      </c>
      <c r="N103" s="236">
        <f>J103*L103/60</f>
        <v>0</v>
      </c>
      <c r="O103" s="313" t="s">
        <v>635</v>
      </c>
      <c r="P103" s="315" t="s">
        <v>636</v>
      </c>
      <c r="Q103" s="313"/>
      <c r="R103" s="239"/>
      <c r="S103" s="331"/>
      <c r="T103" s="313" t="s">
        <v>623</v>
      </c>
      <c r="U103" s="237" t="s">
        <v>436</v>
      </c>
      <c r="V103" s="255">
        <f>Futterlauberlöse!A32*(1+3%)^14</f>
        <v>13.976329057661227</v>
      </c>
    </row>
    <row r="104" spans="1:22" s="94" customFormat="1" ht="36" customHeight="1" thickBot="1" x14ac:dyDescent="0.3">
      <c r="A104" s="122">
        <v>14</v>
      </c>
      <c r="B104" s="138">
        <f>(SUM(M101:M103)*D8)*(1+2%)^14</f>
        <v>345.92334904964957</v>
      </c>
      <c r="C104" s="138">
        <f>(SUM(N101:N103)*D9)*(1+2%)^14</f>
        <v>0</v>
      </c>
      <c r="D104" s="123">
        <f>SUM(S101:S103)</f>
        <v>0</v>
      </c>
      <c r="E104" s="139">
        <f>SUM(B104:D104)</f>
        <v>345.92334904964957</v>
      </c>
      <c r="F104" s="126">
        <f>SUM(V101:V103)</f>
        <v>13.976329057661227</v>
      </c>
      <c r="G104" s="238"/>
      <c r="H104" s="83"/>
      <c r="I104" s="325"/>
      <c r="J104" s="85"/>
      <c r="K104" s="87"/>
      <c r="L104" s="87"/>
      <c r="M104" s="87"/>
      <c r="N104" s="87"/>
      <c r="O104" s="88"/>
      <c r="P104" s="326"/>
      <c r="Q104" s="327"/>
      <c r="R104" s="328"/>
      <c r="S104" s="329"/>
      <c r="T104" s="92"/>
      <c r="U104" s="232"/>
      <c r="V104" s="255"/>
    </row>
    <row r="105" spans="1:22" s="41" customFormat="1" ht="54" customHeight="1" x14ac:dyDescent="0.25">
      <c r="A105" s="343">
        <v>15</v>
      </c>
      <c r="B105" s="60"/>
      <c r="C105" s="60"/>
      <c r="D105" s="60"/>
      <c r="E105" s="63"/>
      <c r="F105" s="64"/>
      <c r="G105" s="162" t="s">
        <v>487</v>
      </c>
      <c r="H105" s="78" t="s">
        <v>498</v>
      </c>
      <c r="I105" s="194">
        <v>2040</v>
      </c>
      <c r="J105" s="146">
        <v>15</v>
      </c>
      <c r="K105" s="195">
        <v>1</v>
      </c>
      <c r="L105" s="153"/>
      <c r="M105" s="196">
        <f>J105*K105/60</f>
        <v>0.25</v>
      </c>
      <c r="N105" s="196">
        <f>J105*L105/60</f>
        <v>0</v>
      </c>
      <c r="O105" s="233"/>
      <c r="P105" s="197"/>
      <c r="Q105" s="198"/>
      <c r="R105" s="153"/>
      <c r="S105" s="199"/>
      <c r="T105" s="156"/>
      <c r="U105" s="197" t="s">
        <v>436</v>
      </c>
      <c r="V105" s="256"/>
    </row>
    <row r="106" spans="1:22" s="41" customFormat="1" ht="72.75" customHeight="1" x14ac:dyDescent="0.25">
      <c r="A106" s="343">
        <v>15</v>
      </c>
      <c r="B106" s="60"/>
      <c r="C106" s="60"/>
      <c r="D106" s="60"/>
      <c r="E106" s="63"/>
      <c r="F106" s="64"/>
      <c r="G106" s="162" t="s">
        <v>491</v>
      </c>
      <c r="H106" s="78" t="s">
        <v>499</v>
      </c>
      <c r="I106" s="194">
        <v>2040</v>
      </c>
      <c r="J106" s="146">
        <f>104*6</f>
        <v>624</v>
      </c>
      <c r="K106" s="153">
        <v>1</v>
      </c>
      <c r="L106" s="153"/>
      <c r="M106" s="196">
        <f>J106*K106/60</f>
        <v>10.4</v>
      </c>
      <c r="N106" s="196">
        <f>J106*L106/60</f>
        <v>0</v>
      </c>
      <c r="O106" s="155" t="s">
        <v>629</v>
      </c>
      <c r="P106" s="197"/>
      <c r="Q106" s="198" t="s">
        <v>503</v>
      </c>
      <c r="R106" s="153"/>
      <c r="S106" s="199"/>
      <c r="T106" s="156" t="s">
        <v>501</v>
      </c>
      <c r="U106" s="163" t="s">
        <v>502</v>
      </c>
      <c r="V106" s="257"/>
    </row>
    <row r="107" spans="1:22" s="41" customFormat="1" ht="69" customHeight="1" thickBot="1" x14ac:dyDescent="0.3">
      <c r="A107" s="343">
        <v>15</v>
      </c>
      <c r="B107" s="60"/>
      <c r="C107" s="60"/>
      <c r="D107" s="60"/>
      <c r="E107" s="63"/>
      <c r="F107" s="64"/>
      <c r="G107" s="170" t="s">
        <v>632</v>
      </c>
      <c r="H107" s="312" t="s">
        <v>634</v>
      </c>
      <c r="I107" s="234">
        <v>2040</v>
      </c>
      <c r="J107" s="164">
        <f>20*9</f>
        <v>180</v>
      </c>
      <c r="K107" s="235">
        <v>1</v>
      </c>
      <c r="L107" s="235"/>
      <c r="M107" s="236">
        <f>J107*K107/60</f>
        <v>3</v>
      </c>
      <c r="N107" s="236">
        <f>J107*L107/60</f>
        <v>0</v>
      </c>
      <c r="O107" s="313" t="s">
        <v>635</v>
      </c>
      <c r="P107" s="315" t="s">
        <v>636</v>
      </c>
      <c r="Q107" s="313"/>
      <c r="R107" s="239"/>
      <c r="S107" s="331"/>
      <c r="T107" s="313" t="s">
        <v>623</v>
      </c>
      <c r="U107" s="237" t="s">
        <v>436</v>
      </c>
      <c r="V107" s="255">
        <f>Futterlauberlöse!A32*(1+3%)^15</f>
        <v>14.395618929391064</v>
      </c>
    </row>
    <row r="108" spans="1:22" s="94" customFormat="1" ht="36" customHeight="1" thickBot="1" x14ac:dyDescent="0.3">
      <c r="A108" s="122">
        <v>15</v>
      </c>
      <c r="B108" s="138">
        <f>(SUM(M105:M107)*D8)*(1+2%)^15</f>
        <v>404.16426199873604</v>
      </c>
      <c r="C108" s="138">
        <f>(SUM(N105:N107)*D9)*(1+2%)^15</f>
        <v>0</v>
      </c>
      <c r="D108" s="123">
        <f>SUM(S105:S107)</f>
        <v>0</v>
      </c>
      <c r="E108" s="139">
        <f>SUM(B108:D108)</f>
        <v>404.16426199873604</v>
      </c>
      <c r="F108" s="126">
        <f>SUM(V105:V107)</f>
        <v>14.395618929391064</v>
      </c>
      <c r="G108" s="238"/>
      <c r="H108" s="83"/>
      <c r="I108" s="325"/>
      <c r="J108" s="85"/>
      <c r="K108" s="87"/>
      <c r="L108" s="87"/>
      <c r="M108" s="87"/>
      <c r="N108" s="87"/>
      <c r="O108" s="88"/>
      <c r="P108" s="326"/>
      <c r="Q108" s="327"/>
      <c r="R108" s="328"/>
      <c r="S108" s="329"/>
      <c r="T108" s="92"/>
      <c r="U108" s="232"/>
      <c r="V108" s="255"/>
    </row>
    <row r="109" spans="1:22" s="41" customFormat="1" ht="54" customHeight="1" x14ac:dyDescent="0.25">
      <c r="A109" s="343">
        <v>16</v>
      </c>
      <c r="B109" s="60"/>
      <c r="C109" s="60"/>
      <c r="D109" s="60"/>
      <c r="E109" s="63"/>
      <c r="F109" s="64"/>
      <c r="G109" s="162" t="s">
        <v>487</v>
      </c>
      <c r="H109" s="78" t="s">
        <v>498</v>
      </c>
      <c r="I109" s="194">
        <v>2041</v>
      </c>
      <c r="J109" s="146">
        <v>15</v>
      </c>
      <c r="K109" s="195">
        <v>1</v>
      </c>
      <c r="L109" s="153"/>
      <c r="M109" s="196">
        <f>J109*K109/60</f>
        <v>0.25</v>
      </c>
      <c r="N109" s="196">
        <f>J109*L109/60</f>
        <v>0</v>
      </c>
      <c r="O109" s="233"/>
      <c r="P109" s="197"/>
      <c r="Q109" s="198"/>
      <c r="R109" s="153"/>
      <c r="S109" s="199"/>
      <c r="T109" s="156"/>
      <c r="U109" s="197" t="s">
        <v>436</v>
      </c>
      <c r="V109" s="256"/>
    </row>
    <row r="110" spans="1:22" s="41" customFormat="1" ht="64.5" customHeight="1" x14ac:dyDescent="0.25">
      <c r="A110" s="343">
        <v>16</v>
      </c>
      <c r="B110" s="60"/>
      <c r="C110" s="60"/>
      <c r="D110" s="60"/>
      <c r="E110" s="63"/>
      <c r="F110" s="64"/>
      <c r="G110" s="162" t="s">
        <v>491</v>
      </c>
      <c r="H110" s="78" t="s">
        <v>499</v>
      </c>
      <c r="I110" s="194">
        <v>2041</v>
      </c>
      <c r="J110" s="146">
        <f>104*6</f>
        <v>624</v>
      </c>
      <c r="K110" s="153">
        <v>1</v>
      </c>
      <c r="L110" s="153"/>
      <c r="M110" s="196">
        <f>J110*K110/60</f>
        <v>10.4</v>
      </c>
      <c r="N110" s="196">
        <f>J110*L110/60</f>
        <v>0</v>
      </c>
      <c r="O110" s="155" t="s">
        <v>629</v>
      </c>
      <c r="P110" s="197"/>
      <c r="Q110" s="198" t="s">
        <v>503</v>
      </c>
      <c r="R110" s="153"/>
      <c r="S110" s="199"/>
      <c r="T110" s="156" t="s">
        <v>501</v>
      </c>
      <c r="U110" s="163" t="s">
        <v>502</v>
      </c>
      <c r="V110" s="257"/>
    </row>
    <row r="111" spans="1:22" s="41" customFormat="1" ht="65.25" customHeight="1" thickBot="1" x14ac:dyDescent="0.3">
      <c r="A111" s="343">
        <v>16</v>
      </c>
      <c r="B111" s="60"/>
      <c r="C111" s="60"/>
      <c r="D111" s="60"/>
      <c r="E111" s="63"/>
      <c r="F111" s="64"/>
      <c r="G111" s="170" t="s">
        <v>632</v>
      </c>
      <c r="H111" s="312" t="s">
        <v>634</v>
      </c>
      <c r="I111" s="234">
        <v>2041</v>
      </c>
      <c r="J111" s="164">
        <f>20*9</f>
        <v>180</v>
      </c>
      <c r="K111" s="235">
        <v>1</v>
      </c>
      <c r="L111" s="235"/>
      <c r="M111" s="236">
        <f>J111*K111/60</f>
        <v>3</v>
      </c>
      <c r="N111" s="236">
        <f>J111*L111/60</f>
        <v>0</v>
      </c>
      <c r="O111" s="313" t="s">
        <v>635</v>
      </c>
      <c r="P111" s="315" t="s">
        <v>636</v>
      </c>
      <c r="Q111" s="313"/>
      <c r="R111" s="239"/>
      <c r="S111" s="331"/>
      <c r="T111" s="313" t="s">
        <v>623</v>
      </c>
      <c r="U111" s="237" t="s">
        <v>436</v>
      </c>
      <c r="V111" s="255">
        <f>Futterlauberlöse!A32*(1+3%)^16</f>
        <v>14.827487497272793</v>
      </c>
    </row>
    <row r="112" spans="1:22" s="94" customFormat="1" ht="36" customHeight="1" thickBot="1" x14ac:dyDescent="0.3">
      <c r="A112" s="122">
        <v>16</v>
      </c>
      <c r="B112" s="138">
        <f>(SUM(M109:M111)*D8)*(1+2%)^16</f>
        <v>412.24754723871081</v>
      </c>
      <c r="C112" s="138">
        <f>(SUM(N109:N111)*D9)*(1+2%)^16</f>
        <v>0</v>
      </c>
      <c r="D112" s="123">
        <f>SUM(S109:S111)</f>
        <v>0</v>
      </c>
      <c r="E112" s="139">
        <f>SUM(B112:D112)</f>
        <v>412.24754723871081</v>
      </c>
      <c r="F112" s="126">
        <f>SUM(V109:V111)</f>
        <v>14.827487497272793</v>
      </c>
      <c r="G112" s="238"/>
      <c r="H112" s="83"/>
      <c r="I112" s="325"/>
      <c r="J112" s="85"/>
      <c r="K112" s="87"/>
      <c r="L112" s="87"/>
      <c r="M112" s="87"/>
      <c r="N112" s="87"/>
      <c r="O112" s="88"/>
      <c r="P112" s="326"/>
      <c r="Q112" s="327"/>
      <c r="R112" s="328"/>
      <c r="S112" s="329"/>
      <c r="T112" s="92"/>
      <c r="U112" s="93"/>
      <c r="V112" s="255"/>
    </row>
    <row r="113" spans="1:22" s="41" customFormat="1" ht="54" customHeight="1" x14ac:dyDescent="0.25">
      <c r="A113" s="343">
        <v>17</v>
      </c>
      <c r="B113" s="60"/>
      <c r="C113" s="60"/>
      <c r="D113" s="60"/>
      <c r="E113" s="63"/>
      <c r="F113" s="64"/>
      <c r="G113" s="162" t="s">
        <v>487</v>
      </c>
      <c r="H113" s="78" t="s">
        <v>498</v>
      </c>
      <c r="I113" s="194">
        <v>2042</v>
      </c>
      <c r="J113" s="146">
        <v>15</v>
      </c>
      <c r="K113" s="195">
        <v>1</v>
      </c>
      <c r="L113" s="153"/>
      <c r="M113" s="196">
        <f>J113*K113/60</f>
        <v>0.25</v>
      </c>
      <c r="N113" s="196">
        <f>J113*L113/60</f>
        <v>0</v>
      </c>
      <c r="O113" s="233"/>
      <c r="P113" s="197"/>
      <c r="Q113" s="198"/>
      <c r="R113" s="153"/>
      <c r="S113" s="199"/>
      <c r="T113" s="156"/>
      <c r="U113" s="197" t="s">
        <v>436</v>
      </c>
      <c r="V113" s="256"/>
    </row>
    <row r="114" spans="1:22" s="41" customFormat="1" ht="77.25" customHeight="1" x14ac:dyDescent="0.25">
      <c r="A114" s="343">
        <v>17</v>
      </c>
      <c r="B114" s="60"/>
      <c r="C114" s="60"/>
      <c r="D114" s="60"/>
      <c r="E114" s="63"/>
      <c r="F114" s="64"/>
      <c r="G114" s="162" t="s">
        <v>491</v>
      </c>
      <c r="H114" s="78" t="s">
        <v>499</v>
      </c>
      <c r="I114" s="194">
        <v>2042</v>
      </c>
      <c r="J114" s="146">
        <f>104*7</f>
        <v>728</v>
      </c>
      <c r="K114" s="153">
        <v>1</v>
      </c>
      <c r="L114" s="153"/>
      <c r="M114" s="196">
        <f>J114*K114/60</f>
        <v>12.133333333333333</v>
      </c>
      <c r="N114" s="196">
        <f>J114*L114/60</f>
        <v>0</v>
      </c>
      <c r="O114" s="155" t="s">
        <v>630</v>
      </c>
      <c r="P114" s="197"/>
      <c r="Q114" s="198" t="s">
        <v>503</v>
      </c>
      <c r="R114" s="153"/>
      <c r="S114" s="199"/>
      <c r="T114" s="156" t="s">
        <v>501</v>
      </c>
      <c r="U114" s="163" t="s">
        <v>502</v>
      </c>
      <c r="V114" s="257"/>
    </row>
    <row r="115" spans="1:22" s="41" customFormat="1" ht="69" customHeight="1" thickBot="1" x14ac:dyDescent="0.3">
      <c r="A115" s="343">
        <v>17</v>
      </c>
      <c r="B115" s="60"/>
      <c r="C115" s="60"/>
      <c r="D115" s="60"/>
      <c r="E115" s="63"/>
      <c r="F115" s="64"/>
      <c r="G115" s="170" t="s">
        <v>632</v>
      </c>
      <c r="H115" s="312" t="s">
        <v>634</v>
      </c>
      <c r="I115" s="234">
        <v>2042</v>
      </c>
      <c r="J115" s="164">
        <f>20*9</f>
        <v>180</v>
      </c>
      <c r="K115" s="235">
        <v>1</v>
      </c>
      <c r="L115" s="235"/>
      <c r="M115" s="236">
        <f>J115*K115/60</f>
        <v>3</v>
      </c>
      <c r="N115" s="236">
        <f>J115*L115/60</f>
        <v>0</v>
      </c>
      <c r="O115" s="313" t="s">
        <v>635</v>
      </c>
      <c r="P115" s="315" t="s">
        <v>636</v>
      </c>
      <c r="Q115" s="313"/>
      <c r="R115" s="239"/>
      <c r="S115" s="331"/>
      <c r="T115" s="313" t="s">
        <v>623</v>
      </c>
      <c r="U115" s="237" t="s">
        <v>436</v>
      </c>
      <c r="V115" s="255">
        <f>Futterlauberlöse!A32*(1+3%)^17</f>
        <v>15.272312122190977</v>
      </c>
    </row>
    <row r="116" spans="1:22" s="94" customFormat="1" ht="36" customHeight="1" thickBot="1" x14ac:dyDescent="0.3">
      <c r="A116" s="122">
        <v>17</v>
      </c>
      <c r="B116" s="138">
        <f>(SUM(M113:M115)*D8)*(1+2%)^17</f>
        <v>473.88837096868951</v>
      </c>
      <c r="C116" s="138">
        <f>(SUM(N113:N115)*D9)*(1+2%)^17</f>
        <v>0</v>
      </c>
      <c r="D116" s="123">
        <f>SUM(S113:S115)</f>
        <v>0</v>
      </c>
      <c r="E116" s="139">
        <f>SUM(B116:D116)</f>
        <v>473.88837096868951</v>
      </c>
      <c r="F116" s="126">
        <f>SUM(V113:V115)</f>
        <v>15.272312122190977</v>
      </c>
      <c r="G116" s="238"/>
      <c r="H116" s="83"/>
      <c r="I116" s="325"/>
      <c r="J116" s="85"/>
      <c r="K116" s="87"/>
      <c r="L116" s="87"/>
      <c r="M116" s="87"/>
      <c r="N116" s="87"/>
      <c r="O116" s="88"/>
      <c r="P116" s="326"/>
      <c r="Q116" s="327"/>
      <c r="R116" s="328"/>
      <c r="S116" s="329"/>
      <c r="T116" s="92"/>
      <c r="U116" s="93"/>
      <c r="V116" s="255"/>
    </row>
    <row r="117" spans="1:22" s="41" customFormat="1" ht="54" customHeight="1" x14ac:dyDescent="0.25">
      <c r="A117" s="343">
        <v>18</v>
      </c>
      <c r="B117" s="60"/>
      <c r="C117" s="60"/>
      <c r="D117" s="60"/>
      <c r="E117" s="63"/>
      <c r="F117" s="64"/>
      <c r="G117" s="162" t="s">
        <v>487</v>
      </c>
      <c r="H117" s="78" t="s">
        <v>498</v>
      </c>
      <c r="I117" s="194">
        <v>2043</v>
      </c>
      <c r="J117" s="146">
        <v>15</v>
      </c>
      <c r="K117" s="195">
        <v>1</v>
      </c>
      <c r="L117" s="153"/>
      <c r="M117" s="196">
        <f>J117*K117/60</f>
        <v>0.25</v>
      </c>
      <c r="N117" s="196">
        <f>J117*L117/60</f>
        <v>0</v>
      </c>
      <c r="O117" s="233"/>
      <c r="P117" s="197"/>
      <c r="Q117" s="198"/>
      <c r="R117" s="153"/>
      <c r="S117" s="199"/>
      <c r="T117" s="156"/>
      <c r="U117" s="197" t="s">
        <v>436</v>
      </c>
      <c r="V117" s="256"/>
    </row>
    <row r="118" spans="1:22" s="41" customFormat="1" ht="62.25" customHeight="1" x14ac:dyDescent="0.25">
      <c r="A118" s="343">
        <v>18</v>
      </c>
      <c r="B118" s="60"/>
      <c r="C118" s="60"/>
      <c r="D118" s="60"/>
      <c r="E118" s="63"/>
      <c r="F118" s="64"/>
      <c r="G118" s="162" t="s">
        <v>491</v>
      </c>
      <c r="H118" s="78" t="s">
        <v>499</v>
      </c>
      <c r="I118" s="194">
        <v>2043</v>
      </c>
      <c r="J118" s="146">
        <f>104*7</f>
        <v>728</v>
      </c>
      <c r="K118" s="153">
        <v>1</v>
      </c>
      <c r="L118" s="153"/>
      <c r="M118" s="196">
        <f>J118*K118/60</f>
        <v>12.133333333333333</v>
      </c>
      <c r="N118" s="196">
        <f>J118*L118/60</f>
        <v>0</v>
      </c>
      <c r="O118" s="155" t="s">
        <v>630</v>
      </c>
      <c r="P118" s="197"/>
      <c r="Q118" s="198" t="s">
        <v>503</v>
      </c>
      <c r="R118" s="153"/>
      <c r="S118" s="199"/>
      <c r="T118" s="156" t="s">
        <v>501</v>
      </c>
      <c r="U118" s="163" t="s">
        <v>502</v>
      </c>
      <c r="V118" s="257"/>
    </row>
    <row r="119" spans="1:22" s="41" customFormat="1" ht="69" customHeight="1" thickBot="1" x14ac:dyDescent="0.3">
      <c r="A119" s="343">
        <v>18</v>
      </c>
      <c r="B119" s="60"/>
      <c r="C119" s="60"/>
      <c r="D119" s="60"/>
      <c r="E119" s="63"/>
      <c r="F119" s="64"/>
      <c r="G119" s="170" t="s">
        <v>632</v>
      </c>
      <c r="H119" s="312" t="s">
        <v>634</v>
      </c>
      <c r="I119" s="234">
        <v>2043</v>
      </c>
      <c r="J119" s="164">
        <f>20*9</f>
        <v>180</v>
      </c>
      <c r="K119" s="235">
        <v>1</v>
      </c>
      <c r="L119" s="235"/>
      <c r="M119" s="236">
        <f>J119*K119/60</f>
        <v>3</v>
      </c>
      <c r="N119" s="236">
        <f>J119*L119/60</f>
        <v>0</v>
      </c>
      <c r="O119" s="313" t="s">
        <v>635</v>
      </c>
      <c r="P119" s="315" t="s">
        <v>636</v>
      </c>
      <c r="Q119" s="313"/>
      <c r="R119" s="239"/>
      <c r="S119" s="331"/>
      <c r="T119" s="313" t="s">
        <v>623</v>
      </c>
      <c r="U119" s="237" t="s">
        <v>436</v>
      </c>
      <c r="V119" s="255">
        <f>Futterlauberlöse!A32*(1+3%)^18</f>
        <v>15.730481485856707</v>
      </c>
    </row>
    <row r="120" spans="1:22" s="94" customFormat="1" ht="36" customHeight="1" thickBot="1" x14ac:dyDescent="0.3">
      <c r="A120" s="122">
        <v>18</v>
      </c>
      <c r="B120" s="138">
        <f>(SUM(M117:M119)*D8)*(1+2%)^18</f>
        <v>483.36613838806323</v>
      </c>
      <c r="C120" s="138">
        <f>(SUM(N117:N119)*D9)*(1+2%)^18</f>
        <v>0</v>
      </c>
      <c r="D120" s="123">
        <f>SUM(S117:S119)</f>
        <v>0</v>
      </c>
      <c r="E120" s="139">
        <f>SUM(B120:D120)</f>
        <v>483.36613838806323</v>
      </c>
      <c r="F120" s="126">
        <f>SUM(V117:V119)</f>
        <v>15.730481485856707</v>
      </c>
      <c r="G120" s="238"/>
      <c r="H120" s="83"/>
      <c r="I120" s="325"/>
      <c r="J120" s="85"/>
      <c r="K120" s="87"/>
      <c r="L120" s="87"/>
      <c r="M120" s="87"/>
      <c r="N120" s="87"/>
      <c r="O120" s="88"/>
      <c r="P120" s="326"/>
      <c r="Q120" s="327"/>
      <c r="R120" s="328"/>
      <c r="S120" s="329"/>
      <c r="T120" s="92"/>
      <c r="U120" s="232"/>
      <c r="V120" s="255"/>
    </row>
    <row r="121" spans="1:22" s="41" customFormat="1" ht="54" customHeight="1" x14ac:dyDescent="0.25">
      <c r="A121" s="343">
        <v>19</v>
      </c>
      <c r="B121" s="60"/>
      <c r="C121" s="60"/>
      <c r="D121" s="60"/>
      <c r="E121" s="63"/>
      <c r="F121" s="64"/>
      <c r="G121" s="162" t="s">
        <v>487</v>
      </c>
      <c r="H121" s="78" t="s">
        <v>498</v>
      </c>
      <c r="I121" s="194">
        <v>2044</v>
      </c>
      <c r="J121" s="146">
        <v>15</v>
      </c>
      <c r="K121" s="195">
        <v>1</v>
      </c>
      <c r="L121" s="153"/>
      <c r="M121" s="196">
        <f>J121*K121/60</f>
        <v>0.25</v>
      </c>
      <c r="N121" s="196">
        <f>J121*L121/60</f>
        <v>0</v>
      </c>
      <c r="O121" s="233"/>
      <c r="P121" s="197"/>
      <c r="Q121" s="198"/>
      <c r="R121" s="153"/>
      <c r="S121" s="199"/>
      <c r="T121" s="156"/>
      <c r="U121" s="197" t="s">
        <v>436</v>
      </c>
      <c r="V121" s="256"/>
    </row>
    <row r="122" spans="1:22" s="41" customFormat="1" ht="69.75" customHeight="1" x14ac:dyDescent="0.25">
      <c r="A122" s="343">
        <v>19</v>
      </c>
      <c r="B122" s="60"/>
      <c r="C122" s="60"/>
      <c r="D122" s="60"/>
      <c r="E122" s="63"/>
      <c r="F122" s="64"/>
      <c r="G122" s="162" t="s">
        <v>491</v>
      </c>
      <c r="H122" s="78" t="s">
        <v>499</v>
      </c>
      <c r="I122" s="194">
        <v>2044</v>
      </c>
      <c r="J122" s="146">
        <f>104*8</f>
        <v>832</v>
      </c>
      <c r="K122" s="153">
        <v>1</v>
      </c>
      <c r="L122" s="153"/>
      <c r="M122" s="196">
        <f>J122*K122/60</f>
        <v>13.866666666666667</v>
      </c>
      <c r="N122" s="196">
        <f>J122*L122/60</f>
        <v>0</v>
      </c>
      <c r="O122" s="155" t="s">
        <v>504</v>
      </c>
      <c r="P122" s="197"/>
      <c r="Q122" s="198" t="s">
        <v>503</v>
      </c>
      <c r="R122" s="153"/>
      <c r="S122" s="199"/>
      <c r="T122" s="156" t="s">
        <v>501</v>
      </c>
      <c r="U122" s="163" t="s">
        <v>502</v>
      </c>
      <c r="V122" s="257"/>
    </row>
    <row r="123" spans="1:22" s="41" customFormat="1" ht="69" customHeight="1" thickBot="1" x14ac:dyDescent="0.3">
      <c r="A123" s="343">
        <v>19</v>
      </c>
      <c r="B123" s="60"/>
      <c r="C123" s="60"/>
      <c r="D123" s="60"/>
      <c r="E123" s="63"/>
      <c r="F123" s="64"/>
      <c r="G123" s="170" t="s">
        <v>632</v>
      </c>
      <c r="H123" s="312" t="s">
        <v>634</v>
      </c>
      <c r="I123" s="234">
        <v>2044</v>
      </c>
      <c r="J123" s="164">
        <f>20*9</f>
        <v>180</v>
      </c>
      <c r="K123" s="235">
        <v>1</v>
      </c>
      <c r="L123" s="235"/>
      <c r="M123" s="236">
        <f>J123*K123/60</f>
        <v>3</v>
      </c>
      <c r="N123" s="236">
        <f>J123*L123/60</f>
        <v>0</v>
      </c>
      <c r="O123" s="313" t="s">
        <v>635</v>
      </c>
      <c r="P123" s="315" t="s">
        <v>636</v>
      </c>
      <c r="Q123" s="313"/>
      <c r="R123" s="239"/>
      <c r="S123" s="331"/>
      <c r="T123" s="313" t="s">
        <v>623</v>
      </c>
      <c r="U123" s="237" t="s">
        <v>436</v>
      </c>
      <c r="V123" s="255">
        <f>Futterlauberlöse!A32*(1+3%)^19</f>
        <v>16.202395930432406</v>
      </c>
    </row>
    <row r="124" spans="1:22" s="94" customFormat="1" ht="36" customHeight="1" thickBot="1" x14ac:dyDescent="0.3">
      <c r="A124" s="122">
        <v>19</v>
      </c>
      <c r="B124" s="138">
        <f>(SUM(M121:M123)*D8)*(1+2%)^19</f>
        <v>548.58652720155112</v>
      </c>
      <c r="C124" s="138">
        <f>(SUM(N121:N123)*D9)*(1+2%)^19</f>
        <v>0</v>
      </c>
      <c r="D124" s="123">
        <f>SUM(S121:S123)</f>
        <v>0</v>
      </c>
      <c r="E124" s="139">
        <f>SUM(B124:D124)</f>
        <v>548.58652720155112</v>
      </c>
      <c r="F124" s="126">
        <f>SUM(V121:V123)</f>
        <v>16.202395930432406</v>
      </c>
      <c r="G124" s="238"/>
      <c r="H124" s="83"/>
      <c r="I124" s="325"/>
      <c r="J124" s="85"/>
      <c r="K124" s="87"/>
      <c r="L124" s="87"/>
      <c r="M124" s="87"/>
      <c r="N124" s="87"/>
      <c r="O124" s="88"/>
      <c r="P124" s="326"/>
      <c r="Q124" s="327"/>
      <c r="R124" s="328"/>
      <c r="S124" s="329"/>
      <c r="T124" s="92"/>
      <c r="U124" s="93"/>
      <c r="V124" s="255"/>
    </row>
    <row r="125" spans="1:22" s="41" customFormat="1" ht="54" customHeight="1" x14ac:dyDescent="0.25">
      <c r="A125" s="343">
        <v>20</v>
      </c>
      <c r="B125" s="60"/>
      <c r="C125" s="60"/>
      <c r="D125" s="60"/>
      <c r="E125" s="63"/>
      <c r="F125" s="64"/>
      <c r="G125" s="162" t="s">
        <v>487</v>
      </c>
      <c r="H125" s="78" t="s">
        <v>498</v>
      </c>
      <c r="I125" s="194">
        <v>2045</v>
      </c>
      <c r="J125" s="146">
        <v>15</v>
      </c>
      <c r="K125" s="195">
        <v>1</v>
      </c>
      <c r="L125" s="153"/>
      <c r="M125" s="196">
        <f>J125*K125/60</f>
        <v>0.25</v>
      </c>
      <c r="N125" s="196">
        <f>J125*L125/60</f>
        <v>0</v>
      </c>
      <c r="O125" s="233"/>
      <c r="P125" s="197"/>
      <c r="Q125" s="198"/>
      <c r="R125" s="153"/>
      <c r="S125" s="199"/>
      <c r="T125" s="156"/>
      <c r="U125" s="197" t="s">
        <v>436</v>
      </c>
      <c r="V125" s="256"/>
    </row>
    <row r="126" spans="1:22" s="41" customFormat="1" ht="68.25" customHeight="1" x14ac:dyDescent="0.25">
      <c r="A126" s="343">
        <v>20</v>
      </c>
      <c r="B126" s="60"/>
      <c r="C126" s="60"/>
      <c r="D126" s="60"/>
      <c r="E126" s="63"/>
      <c r="F126" s="64"/>
      <c r="G126" s="162" t="s">
        <v>491</v>
      </c>
      <c r="H126" s="78" t="s">
        <v>499</v>
      </c>
      <c r="I126" s="194">
        <v>2045</v>
      </c>
      <c r="J126" s="146">
        <f>104*8</f>
        <v>832</v>
      </c>
      <c r="K126" s="153">
        <v>1</v>
      </c>
      <c r="L126" s="153"/>
      <c r="M126" s="196">
        <f>J126*K126/60</f>
        <v>13.866666666666667</v>
      </c>
      <c r="N126" s="196">
        <f>J126*L126/60</f>
        <v>0</v>
      </c>
      <c r="O126" s="155" t="s">
        <v>504</v>
      </c>
      <c r="P126" s="197"/>
      <c r="Q126" s="198" t="s">
        <v>503</v>
      </c>
      <c r="R126" s="153"/>
      <c r="S126" s="199"/>
      <c r="T126" s="156" t="s">
        <v>501</v>
      </c>
      <c r="U126" s="163" t="s">
        <v>502</v>
      </c>
      <c r="V126" s="257"/>
    </row>
    <row r="127" spans="1:22" s="41" customFormat="1" ht="69" customHeight="1" thickBot="1" x14ac:dyDescent="0.3">
      <c r="A127" s="343">
        <v>20</v>
      </c>
      <c r="B127" s="60"/>
      <c r="C127" s="60"/>
      <c r="D127" s="60"/>
      <c r="E127" s="63"/>
      <c r="F127" s="64"/>
      <c r="G127" s="170" t="s">
        <v>632</v>
      </c>
      <c r="H127" s="312" t="s">
        <v>634</v>
      </c>
      <c r="I127" s="234">
        <v>2045</v>
      </c>
      <c r="J127" s="164">
        <f>20*9</f>
        <v>180</v>
      </c>
      <c r="K127" s="235">
        <v>1</v>
      </c>
      <c r="L127" s="235"/>
      <c r="M127" s="236">
        <f>J127*K127/60</f>
        <v>3</v>
      </c>
      <c r="N127" s="236">
        <f>J127*L127/60</f>
        <v>0</v>
      </c>
      <c r="O127" s="313" t="s">
        <v>635</v>
      </c>
      <c r="P127" s="315" t="s">
        <v>636</v>
      </c>
      <c r="Q127" s="313"/>
      <c r="R127" s="239"/>
      <c r="S127" s="331"/>
      <c r="T127" s="313" t="s">
        <v>623</v>
      </c>
      <c r="U127" s="237" t="s">
        <v>436</v>
      </c>
      <c r="V127" s="255">
        <f>Futterlauberlöse!A32*(1+3%)^20</f>
        <v>16.688467808345379</v>
      </c>
    </row>
    <row r="128" spans="1:22" s="94" customFormat="1" ht="36" customHeight="1" thickBot="1" x14ac:dyDescent="0.3">
      <c r="A128" s="122">
        <v>20</v>
      </c>
      <c r="B128" s="138">
        <f>(SUM(M125:M127)*D8)*(1+2%)^20</f>
        <v>559.5582577455823</v>
      </c>
      <c r="C128" s="138">
        <f>(SUM(N125:N127)*D9)*(1+2%)^20</f>
        <v>0</v>
      </c>
      <c r="D128" s="123">
        <f>SUM(S125:S127)</f>
        <v>0</v>
      </c>
      <c r="E128" s="139">
        <f>SUM(B128:D128)</f>
        <v>559.5582577455823</v>
      </c>
      <c r="F128" s="126">
        <f>SUM(V125:V127)</f>
        <v>16.688467808345379</v>
      </c>
      <c r="G128" s="238"/>
      <c r="H128" s="83"/>
      <c r="I128" s="325"/>
      <c r="J128" s="85"/>
      <c r="K128" s="87"/>
      <c r="L128" s="87"/>
      <c r="M128" s="87"/>
      <c r="N128" s="87"/>
      <c r="O128" s="88"/>
      <c r="P128" s="326"/>
      <c r="Q128" s="327"/>
      <c r="R128" s="328"/>
      <c r="S128" s="329"/>
      <c r="T128" s="92"/>
      <c r="U128" s="93"/>
      <c r="V128" s="255"/>
    </row>
    <row r="129" spans="1:22" s="41" customFormat="1" ht="54" customHeight="1" x14ac:dyDescent="0.25">
      <c r="A129" s="343">
        <v>21</v>
      </c>
      <c r="B129" s="60"/>
      <c r="C129" s="60"/>
      <c r="D129" s="60"/>
      <c r="E129" s="63"/>
      <c r="F129" s="64"/>
      <c r="G129" s="162" t="s">
        <v>487</v>
      </c>
      <c r="H129" s="78" t="s">
        <v>498</v>
      </c>
      <c r="I129" s="194">
        <v>2046</v>
      </c>
      <c r="J129" s="146">
        <v>15</v>
      </c>
      <c r="K129" s="195">
        <v>1</v>
      </c>
      <c r="L129" s="153"/>
      <c r="M129" s="196">
        <f>J129*K129/60</f>
        <v>0.25</v>
      </c>
      <c r="N129" s="196">
        <f>J129*L129/60</f>
        <v>0</v>
      </c>
      <c r="O129" s="233"/>
      <c r="P129" s="197"/>
      <c r="Q129" s="198"/>
      <c r="R129" s="153"/>
      <c r="S129" s="199"/>
      <c r="T129" s="156"/>
      <c r="U129" s="197" t="s">
        <v>436</v>
      </c>
      <c r="V129" s="256"/>
    </row>
    <row r="130" spans="1:22" s="41" customFormat="1" ht="69" customHeight="1" x14ac:dyDescent="0.25">
      <c r="A130" s="343">
        <v>21</v>
      </c>
      <c r="B130" s="60"/>
      <c r="C130" s="60"/>
      <c r="D130" s="60"/>
      <c r="E130" s="63"/>
      <c r="F130" s="64"/>
      <c r="G130" s="162" t="s">
        <v>491</v>
      </c>
      <c r="H130" s="78" t="s">
        <v>499</v>
      </c>
      <c r="I130" s="194">
        <v>2046</v>
      </c>
      <c r="J130" s="146">
        <f>104*8</f>
        <v>832</v>
      </c>
      <c r="K130" s="153">
        <v>1</v>
      </c>
      <c r="L130" s="153"/>
      <c r="M130" s="196">
        <f>J130*K130/60</f>
        <v>13.866666666666667</v>
      </c>
      <c r="N130" s="196">
        <f>J130*L130/60</f>
        <v>0</v>
      </c>
      <c r="O130" s="155" t="s">
        <v>504</v>
      </c>
      <c r="P130" s="197"/>
      <c r="Q130" s="198" t="s">
        <v>503</v>
      </c>
      <c r="R130" s="153"/>
      <c r="S130" s="199"/>
      <c r="T130" s="156" t="s">
        <v>501</v>
      </c>
      <c r="U130" s="163" t="s">
        <v>502</v>
      </c>
      <c r="V130" s="257"/>
    </row>
    <row r="131" spans="1:22" s="41" customFormat="1" ht="69" customHeight="1" x14ac:dyDescent="0.25">
      <c r="A131" s="343">
        <v>21</v>
      </c>
      <c r="B131" s="60"/>
      <c r="C131" s="60"/>
      <c r="D131" s="60"/>
      <c r="E131" s="63"/>
      <c r="F131" s="64"/>
      <c r="G131" s="170" t="s">
        <v>632</v>
      </c>
      <c r="H131" s="312" t="s">
        <v>634</v>
      </c>
      <c r="I131" s="234">
        <v>2046</v>
      </c>
      <c r="J131" s="164">
        <f>20*9</f>
        <v>180</v>
      </c>
      <c r="K131" s="235">
        <v>1</v>
      </c>
      <c r="L131" s="235"/>
      <c r="M131" s="236">
        <f>J131*K131/60</f>
        <v>3</v>
      </c>
      <c r="N131" s="236">
        <f>J131*L131/60</f>
        <v>0</v>
      </c>
      <c r="O131" s="313" t="s">
        <v>635</v>
      </c>
      <c r="P131" s="315" t="s">
        <v>636</v>
      </c>
      <c r="Q131" s="313"/>
      <c r="R131" s="239"/>
      <c r="S131" s="331"/>
      <c r="T131" s="313" t="s">
        <v>623</v>
      </c>
      <c r="U131" s="237" t="s">
        <v>436</v>
      </c>
      <c r="V131" s="255">
        <f>Futterlauberlöse!A32*(1+3%)^21</f>
        <v>17.189121842595739</v>
      </c>
    </row>
    <row r="132" spans="1:22" s="41" customFormat="1" ht="69" customHeight="1" x14ac:dyDescent="0.25">
      <c r="A132" s="343">
        <v>21</v>
      </c>
      <c r="B132" s="60"/>
      <c r="C132" s="60"/>
      <c r="D132" s="60"/>
      <c r="E132" s="63"/>
      <c r="F132" s="64"/>
      <c r="G132" s="170" t="s">
        <v>507</v>
      </c>
      <c r="H132" s="170" t="s">
        <v>638</v>
      </c>
      <c r="I132" s="234">
        <v>2046</v>
      </c>
      <c r="J132" s="164">
        <f>30*20</f>
        <v>600</v>
      </c>
      <c r="K132" s="239">
        <v>1</v>
      </c>
      <c r="L132" s="239">
        <v>1</v>
      </c>
      <c r="M132" s="236">
        <f>J132*K132/60</f>
        <v>10</v>
      </c>
      <c r="N132" s="236">
        <f>J132*L132/60</f>
        <v>10</v>
      </c>
      <c r="O132" s="172" t="s">
        <v>509</v>
      </c>
      <c r="P132" s="237" t="s">
        <v>595</v>
      </c>
      <c r="Q132" s="313" t="s">
        <v>639</v>
      </c>
      <c r="R132" s="317" t="s">
        <v>640</v>
      </c>
      <c r="S132" s="246">
        <f>35*M132</f>
        <v>350</v>
      </c>
      <c r="T132" s="313" t="s">
        <v>637</v>
      </c>
      <c r="U132" s="237" t="s">
        <v>521</v>
      </c>
      <c r="V132" s="318">
        <f>Pappelerlöse!A21</f>
        <v>3320.6258105014495</v>
      </c>
    </row>
    <row r="133" spans="1:22" s="41" customFormat="1" ht="69" customHeight="1" thickBot="1" x14ac:dyDescent="0.3">
      <c r="A133" s="343">
        <v>21</v>
      </c>
      <c r="B133" s="60"/>
      <c r="C133" s="60"/>
      <c r="D133" s="60"/>
      <c r="E133" s="63"/>
      <c r="F133" s="64"/>
      <c r="G133" s="170" t="s">
        <v>644</v>
      </c>
      <c r="H133" s="170" t="s">
        <v>645</v>
      </c>
      <c r="I133" s="234">
        <v>2046</v>
      </c>
      <c r="J133" s="164"/>
      <c r="K133" s="239"/>
      <c r="L133" s="239"/>
      <c r="M133" s="236">
        <f>J133*K133/60</f>
        <v>0</v>
      </c>
      <c r="N133" s="236">
        <f>J133*L133/60</f>
        <v>0</v>
      </c>
      <c r="O133" s="172"/>
      <c r="P133" s="237"/>
      <c r="Q133" s="313"/>
      <c r="R133" s="317"/>
      <c r="S133" s="246"/>
      <c r="T133" s="313"/>
      <c r="U133" s="237"/>
      <c r="V133" s="255"/>
    </row>
    <row r="134" spans="1:22" s="94" customFormat="1" ht="36" customHeight="1" thickBot="1" x14ac:dyDescent="0.3">
      <c r="A134" s="122">
        <v>21</v>
      </c>
      <c r="B134" s="138">
        <f>(SUM(M129:M133)*D8)*(1+2%)^21</f>
        <v>904.1960185580366</v>
      </c>
      <c r="C134" s="138">
        <f>(SUM(N129:N133)*D9)*(1+2%)^21</f>
        <v>210.67762180181106</v>
      </c>
      <c r="D134" s="123">
        <f>SUM(S129:S133)</f>
        <v>350</v>
      </c>
      <c r="E134" s="139">
        <f>SUM(B134:D134)</f>
        <v>1464.8736403598477</v>
      </c>
      <c r="F134" s="126">
        <f>SUM(V129:V133)</f>
        <v>3337.8149323440452</v>
      </c>
      <c r="G134" s="108"/>
      <c r="H134" s="83"/>
      <c r="I134" s="84"/>
      <c r="J134" s="85"/>
      <c r="K134" s="131"/>
      <c r="L134" s="87"/>
      <c r="M134" s="131"/>
      <c r="N134" s="87"/>
      <c r="O134" s="88"/>
      <c r="P134" s="89"/>
      <c r="Q134" s="90"/>
      <c r="R134" s="86"/>
      <c r="S134" s="91"/>
      <c r="T134" s="92"/>
      <c r="U134" s="93"/>
      <c r="V134" s="255"/>
    </row>
    <row r="135" spans="1:22" s="41" customFormat="1" ht="54" customHeight="1" x14ac:dyDescent="0.25">
      <c r="A135" s="343">
        <v>22</v>
      </c>
      <c r="B135" s="60"/>
      <c r="C135" s="60"/>
      <c r="D135" s="60"/>
      <c r="E135" s="63"/>
      <c r="F135" s="64"/>
      <c r="G135" s="162" t="s">
        <v>487</v>
      </c>
      <c r="H135" s="78" t="s">
        <v>498</v>
      </c>
      <c r="I135" s="194">
        <v>2047</v>
      </c>
      <c r="J135" s="146">
        <v>15</v>
      </c>
      <c r="K135" s="195">
        <v>1</v>
      </c>
      <c r="L135" s="153"/>
      <c r="M135" s="196">
        <f>J135*K135/60</f>
        <v>0.25</v>
      </c>
      <c r="N135" s="196">
        <f>J135*L135/60</f>
        <v>0</v>
      </c>
      <c r="O135" s="233"/>
      <c r="P135" s="197"/>
      <c r="Q135" s="198"/>
      <c r="R135" s="153"/>
      <c r="S135" s="199"/>
      <c r="T135" s="156"/>
      <c r="U135" s="197" t="s">
        <v>436</v>
      </c>
      <c r="V135" s="256"/>
    </row>
    <row r="136" spans="1:22" s="41" customFormat="1" ht="69" customHeight="1" x14ac:dyDescent="0.25">
      <c r="A136" s="343">
        <v>22</v>
      </c>
      <c r="B136" s="60"/>
      <c r="C136" s="60"/>
      <c r="D136" s="60"/>
      <c r="E136" s="63"/>
      <c r="F136" s="64"/>
      <c r="G136" s="162" t="s">
        <v>491</v>
      </c>
      <c r="H136" s="78" t="s">
        <v>499</v>
      </c>
      <c r="I136" s="194">
        <v>2047</v>
      </c>
      <c r="J136" s="146">
        <f>104*8</f>
        <v>832</v>
      </c>
      <c r="K136" s="153">
        <v>1</v>
      </c>
      <c r="L136" s="153"/>
      <c r="M136" s="196">
        <f>J136*K136/60</f>
        <v>13.866666666666667</v>
      </c>
      <c r="N136" s="196">
        <f>J136*L136/60</f>
        <v>0</v>
      </c>
      <c r="O136" s="155" t="s">
        <v>504</v>
      </c>
      <c r="P136" s="197"/>
      <c r="Q136" s="198" t="s">
        <v>503</v>
      </c>
      <c r="R136" s="153"/>
      <c r="S136" s="199"/>
      <c r="T136" s="156" t="s">
        <v>501</v>
      </c>
      <c r="U136" s="163" t="s">
        <v>502</v>
      </c>
      <c r="V136" s="257"/>
    </row>
    <row r="137" spans="1:22" s="41" customFormat="1" ht="69" customHeight="1" thickBot="1" x14ac:dyDescent="0.3">
      <c r="A137" s="343">
        <v>22</v>
      </c>
      <c r="B137" s="60"/>
      <c r="C137" s="60"/>
      <c r="D137" s="60"/>
      <c r="E137" s="63"/>
      <c r="F137" s="64"/>
      <c r="G137" s="170" t="s">
        <v>632</v>
      </c>
      <c r="H137" s="312" t="s">
        <v>634</v>
      </c>
      <c r="I137" s="234">
        <v>2047</v>
      </c>
      <c r="J137" s="164">
        <f>20*9</f>
        <v>180</v>
      </c>
      <c r="K137" s="235">
        <v>1</v>
      </c>
      <c r="L137" s="235"/>
      <c r="M137" s="236">
        <f>J137*K137/60</f>
        <v>3</v>
      </c>
      <c r="N137" s="236">
        <f>J137*L137/60</f>
        <v>0</v>
      </c>
      <c r="O137" s="313" t="s">
        <v>635</v>
      </c>
      <c r="P137" s="315" t="s">
        <v>636</v>
      </c>
      <c r="Q137" s="313"/>
      <c r="R137" s="239"/>
      <c r="S137" s="331"/>
      <c r="T137" s="313" t="s">
        <v>623</v>
      </c>
      <c r="U137" s="237" t="s">
        <v>436</v>
      </c>
      <c r="V137" s="255">
        <f>Futterlauberlöse!A32*(1+3%)^22</f>
        <v>17.704795497873612</v>
      </c>
    </row>
    <row r="138" spans="1:22" s="94" customFormat="1" ht="36" customHeight="1" thickBot="1" x14ac:dyDescent="0.3">
      <c r="A138" s="122">
        <v>22</v>
      </c>
      <c r="B138" s="138">
        <f>(SUM(M135:M137)*D8)*(1+2%)^22</f>
        <v>582.1644113585038</v>
      </c>
      <c r="C138" s="138">
        <f>(SUM(N135:N137)*D9)*(1+2%)^22</f>
        <v>0</v>
      </c>
      <c r="D138" s="123">
        <f>SUM(S135:S137)</f>
        <v>0</v>
      </c>
      <c r="E138" s="139">
        <f>SUM(B138:D138)</f>
        <v>582.1644113585038</v>
      </c>
      <c r="F138" s="126">
        <f>SUM(V135:V137)</f>
        <v>17.704795497873612</v>
      </c>
      <c r="G138" s="108"/>
      <c r="H138" s="83"/>
      <c r="I138" s="84"/>
      <c r="J138" s="85"/>
      <c r="K138" s="131"/>
      <c r="L138" s="87"/>
      <c r="M138" s="131"/>
      <c r="N138" s="87"/>
      <c r="O138" s="88"/>
      <c r="P138" s="89"/>
      <c r="Q138" s="90"/>
      <c r="R138" s="86"/>
      <c r="S138" s="91"/>
      <c r="T138" s="92"/>
      <c r="U138" s="232"/>
      <c r="V138" s="255"/>
    </row>
    <row r="139" spans="1:22" s="41" customFormat="1" ht="54" customHeight="1" x14ac:dyDescent="0.25">
      <c r="A139" s="343">
        <v>23</v>
      </c>
      <c r="B139" s="60"/>
      <c r="C139" s="60"/>
      <c r="D139" s="60"/>
      <c r="E139" s="63"/>
      <c r="F139" s="64"/>
      <c r="G139" s="162" t="s">
        <v>487</v>
      </c>
      <c r="H139" s="78" t="s">
        <v>498</v>
      </c>
      <c r="I139" s="194">
        <v>2048</v>
      </c>
      <c r="J139" s="146">
        <v>15</v>
      </c>
      <c r="K139" s="195">
        <v>1</v>
      </c>
      <c r="L139" s="153"/>
      <c r="M139" s="196">
        <f>J139*K139/60</f>
        <v>0.25</v>
      </c>
      <c r="N139" s="196">
        <f>J139*L139/60</f>
        <v>0</v>
      </c>
      <c r="O139" s="233"/>
      <c r="P139" s="197"/>
      <c r="Q139" s="198"/>
      <c r="R139" s="153"/>
      <c r="S139" s="199"/>
      <c r="T139" s="156"/>
      <c r="U139" s="197" t="s">
        <v>436</v>
      </c>
      <c r="V139" s="256"/>
    </row>
    <row r="140" spans="1:22" s="41" customFormat="1" ht="69" customHeight="1" x14ac:dyDescent="0.25">
      <c r="A140" s="343">
        <v>23</v>
      </c>
      <c r="B140" s="60"/>
      <c r="C140" s="60"/>
      <c r="D140" s="60"/>
      <c r="E140" s="63"/>
      <c r="F140" s="64"/>
      <c r="G140" s="162" t="s">
        <v>491</v>
      </c>
      <c r="H140" s="78" t="s">
        <v>499</v>
      </c>
      <c r="I140" s="194">
        <v>2048</v>
      </c>
      <c r="J140" s="146">
        <f>74*8</f>
        <v>592</v>
      </c>
      <c r="K140" s="153">
        <v>1</v>
      </c>
      <c r="L140" s="153"/>
      <c r="M140" s="196">
        <f>J140*K140/60</f>
        <v>9.8666666666666671</v>
      </c>
      <c r="N140" s="196">
        <f>J140*L140/60</f>
        <v>0</v>
      </c>
      <c r="O140" s="155" t="s">
        <v>631</v>
      </c>
      <c r="P140" s="197"/>
      <c r="Q140" s="198" t="s">
        <v>503</v>
      </c>
      <c r="R140" s="153"/>
      <c r="S140" s="199"/>
      <c r="T140" s="156" t="s">
        <v>588</v>
      </c>
      <c r="U140" s="163" t="s">
        <v>502</v>
      </c>
      <c r="V140" s="257"/>
    </row>
    <row r="141" spans="1:22" s="41" customFormat="1" ht="69" customHeight="1" x14ac:dyDescent="0.25">
      <c r="A141" s="343">
        <v>23</v>
      </c>
      <c r="B141" s="60"/>
      <c r="C141" s="60"/>
      <c r="D141" s="60"/>
      <c r="E141" s="63"/>
      <c r="F141" s="64"/>
      <c r="G141" s="170" t="s">
        <v>632</v>
      </c>
      <c r="H141" s="312" t="s">
        <v>634</v>
      </c>
      <c r="I141" s="234">
        <v>2048</v>
      </c>
      <c r="J141" s="164">
        <f>20*9</f>
        <v>180</v>
      </c>
      <c r="K141" s="235">
        <v>1</v>
      </c>
      <c r="L141" s="235"/>
      <c r="M141" s="236">
        <f>J141*K141/60</f>
        <v>3</v>
      </c>
      <c r="N141" s="236">
        <f>J141*L141/60</f>
        <v>0</v>
      </c>
      <c r="O141" s="313" t="s">
        <v>635</v>
      </c>
      <c r="P141" s="315" t="s">
        <v>636</v>
      </c>
      <c r="Q141" s="313"/>
      <c r="R141" s="239"/>
      <c r="S141" s="331"/>
      <c r="T141" s="313" t="s">
        <v>623</v>
      </c>
      <c r="U141" s="237" t="s">
        <v>436</v>
      </c>
      <c r="V141" s="255">
        <f>Futterlauberlöse!A32*(1+3%)^23</f>
        <v>18.23593936280982</v>
      </c>
    </row>
    <row r="142" spans="1:22" s="41" customFormat="1" ht="69" customHeight="1" x14ac:dyDescent="0.25">
      <c r="A142" s="343">
        <v>23</v>
      </c>
      <c r="B142" s="60"/>
      <c r="C142" s="60"/>
      <c r="D142" s="60"/>
      <c r="E142" s="63"/>
      <c r="F142" s="64"/>
      <c r="G142" s="170" t="s">
        <v>507</v>
      </c>
      <c r="H142" s="170" t="s">
        <v>638</v>
      </c>
      <c r="I142" s="234">
        <v>2048</v>
      </c>
      <c r="J142" s="164">
        <f>30*20</f>
        <v>600</v>
      </c>
      <c r="K142" s="239">
        <v>1</v>
      </c>
      <c r="L142" s="239">
        <v>1</v>
      </c>
      <c r="M142" s="236">
        <f>J142*K142/60</f>
        <v>10</v>
      </c>
      <c r="N142" s="236">
        <f>J142*L142/60</f>
        <v>10</v>
      </c>
      <c r="O142" s="245" t="s">
        <v>509</v>
      </c>
      <c r="P142" s="237" t="s">
        <v>595</v>
      </c>
      <c r="Q142" s="313" t="s">
        <v>639</v>
      </c>
      <c r="R142" s="317" t="s">
        <v>640</v>
      </c>
      <c r="S142" s="246">
        <f>35*M142</f>
        <v>350</v>
      </c>
      <c r="T142" s="313" t="s">
        <v>637</v>
      </c>
      <c r="U142" s="237" t="s">
        <v>521</v>
      </c>
      <c r="V142" s="255">
        <f>Pappelerlöse!A16</f>
        <v>4361.6261895897951</v>
      </c>
    </row>
    <row r="143" spans="1:22" s="41" customFormat="1" ht="80.25" customHeight="1" thickBot="1" x14ac:dyDescent="0.3">
      <c r="A143" s="343">
        <v>23</v>
      </c>
      <c r="B143" s="60"/>
      <c r="C143" s="60"/>
      <c r="D143" s="60"/>
      <c r="E143" s="63"/>
      <c r="F143" s="64"/>
      <c r="G143" s="170" t="s">
        <v>644</v>
      </c>
      <c r="H143" s="170" t="s">
        <v>645</v>
      </c>
      <c r="I143" s="234">
        <v>2048</v>
      </c>
      <c r="J143" s="164"/>
      <c r="K143" s="239"/>
      <c r="L143" s="239"/>
      <c r="M143" s="236">
        <f>J143*K143/60</f>
        <v>0</v>
      </c>
      <c r="N143" s="236">
        <f>J143*L143/60</f>
        <v>0</v>
      </c>
      <c r="O143" s="313"/>
      <c r="P143" s="237"/>
      <c r="Q143" s="313"/>
      <c r="R143" s="245"/>
      <c r="S143" s="246"/>
      <c r="T143" s="313"/>
      <c r="U143" s="237"/>
      <c r="V143" s="255"/>
    </row>
    <row r="144" spans="1:22" s="94" customFormat="1" ht="36" customHeight="1" thickBot="1" x14ac:dyDescent="0.3">
      <c r="A144" s="122">
        <v>23</v>
      </c>
      <c r="B144" s="138">
        <f>(SUM(M139:M143)*D8)*(1+2%)^23</f>
        <v>801.95840245893817</v>
      </c>
      <c r="C144" s="138">
        <f>(SUM(N139:N143)*D9)*(1+2%)^23</f>
        <v>219.1889977226042</v>
      </c>
      <c r="D144" s="123">
        <f>SUM(S139:S143)</f>
        <v>350</v>
      </c>
      <c r="E144" s="139">
        <f>SUM(B144:D144)</f>
        <v>1371.1474001815423</v>
      </c>
      <c r="F144" s="126">
        <f>SUM(V139:V143)</f>
        <v>4379.8621289526045</v>
      </c>
      <c r="G144" s="108"/>
      <c r="H144" s="83"/>
      <c r="I144" s="84"/>
      <c r="J144" s="85"/>
      <c r="K144" s="131"/>
      <c r="L144" s="87"/>
      <c r="M144" s="131"/>
      <c r="N144" s="87"/>
      <c r="O144" s="88"/>
      <c r="P144" s="89"/>
      <c r="Q144" s="90"/>
      <c r="R144" s="86"/>
      <c r="S144" s="91"/>
      <c r="T144" s="92"/>
      <c r="U144" s="93"/>
      <c r="V144" s="255"/>
    </row>
    <row r="145" spans="1:22" s="41" customFormat="1" ht="54" customHeight="1" x14ac:dyDescent="0.25">
      <c r="A145" s="343">
        <v>24</v>
      </c>
      <c r="B145" s="60"/>
      <c r="C145" s="60"/>
      <c r="D145" s="60"/>
      <c r="E145" s="63"/>
      <c r="F145" s="64"/>
      <c r="G145" s="162" t="s">
        <v>487</v>
      </c>
      <c r="H145" s="78" t="s">
        <v>498</v>
      </c>
      <c r="I145" s="194">
        <v>2049</v>
      </c>
      <c r="J145" s="146">
        <v>15</v>
      </c>
      <c r="K145" s="195">
        <v>1</v>
      </c>
      <c r="L145" s="153"/>
      <c r="M145" s="196">
        <f>J145*K145/60</f>
        <v>0.25</v>
      </c>
      <c r="N145" s="196">
        <f>J145*L145/60</f>
        <v>0</v>
      </c>
      <c r="O145" s="233"/>
      <c r="P145" s="197"/>
      <c r="Q145" s="198"/>
      <c r="R145" s="153"/>
      <c r="S145" s="199"/>
      <c r="T145" s="156"/>
      <c r="U145" s="197" t="s">
        <v>436</v>
      </c>
      <c r="V145" s="256"/>
    </row>
    <row r="146" spans="1:22" s="41" customFormat="1" ht="77.25" customHeight="1" x14ac:dyDescent="0.25">
      <c r="A146" s="343">
        <v>24</v>
      </c>
      <c r="B146" s="60"/>
      <c r="C146" s="60"/>
      <c r="D146" s="60"/>
      <c r="E146" s="63"/>
      <c r="F146" s="64"/>
      <c r="G146" s="162" t="s">
        <v>491</v>
      </c>
      <c r="H146" s="78" t="s">
        <v>499</v>
      </c>
      <c r="I146" s="194">
        <v>2049</v>
      </c>
      <c r="J146" s="146">
        <f>74*8</f>
        <v>592</v>
      </c>
      <c r="K146" s="153">
        <v>1</v>
      </c>
      <c r="L146" s="153"/>
      <c r="M146" s="196">
        <f>J146*K146/60</f>
        <v>9.8666666666666671</v>
      </c>
      <c r="N146" s="196">
        <f>J146*L146/60</f>
        <v>0</v>
      </c>
      <c r="O146" s="155" t="s">
        <v>631</v>
      </c>
      <c r="P146" s="197"/>
      <c r="Q146" s="198" t="s">
        <v>503</v>
      </c>
      <c r="R146" s="153"/>
      <c r="S146" s="199"/>
      <c r="T146" s="156" t="s">
        <v>588</v>
      </c>
      <c r="U146" s="163" t="s">
        <v>502</v>
      </c>
      <c r="V146" s="257"/>
    </row>
    <row r="147" spans="1:22" s="41" customFormat="1" ht="69" customHeight="1" thickBot="1" x14ac:dyDescent="0.3">
      <c r="A147" s="343">
        <v>24</v>
      </c>
      <c r="B147" s="60"/>
      <c r="C147" s="60"/>
      <c r="D147" s="60"/>
      <c r="E147" s="63"/>
      <c r="F147" s="64"/>
      <c r="G147" s="170" t="s">
        <v>632</v>
      </c>
      <c r="H147" s="312" t="s">
        <v>634</v>
      </c>
      <c r="I147" s="234">
        <v>2049</v>
      </c>
      <c r="J147" s="164">
        <f>20*9</f>
        <v>180</v>
      </c>
      <c r="K147" s="235">
        <v>1</v>
      </c>
      <c r="L147" s="235"/>
      <c r="M147" s="236">
        <f>J147*K147/60</f>
        <v>3</v>
      </c>
      <c r="N147" s="236">
        <f>J147*L147/60</f>
        <v>0</v>
      </c>
      <c r="O147" s="313" t="s">
        <v>635</v>
      </c>
      <c r="P147" s="315" t="s">
        <v>636</v>
      </c>
      <c r="Q147" s="313"/>
      <c r="R147" s="239"/>
      <c r="S147" s="331"/>
      <c r="T147" s="313" t="s">
        <v>623</v>
      </c>
      <c r="U147" s="237" t="s">
        <v>436</v>
      </c>
      <c r="V147" s="255">
        <f>Futterlauberlöse!A32*(1+3%)^24</f>
        <v>18.783017543694115</v>
      </c>
    </row>
    <row r="148" spans="1:22" s="94" customFormat="1" ht="36" customHeight="1" thickBot="1" x14ac:dyDescent="0.3">
      <c r="A148" s="122">
        <v>24</v>
      </c>
      <c r="B148" s="138">
        <f>(SUM(M145:M147)*D8)*(1+2%)^24</f>
        <v>464.14137562356746</v>
      </c>
      <c r="C148" s="138">
        <f>(SUM(N145:N147)*D9)*(1+2%)^24</f>
        <v>0</v>
      </c>
      <c r="D148" s="123">
        <f>SUM(S145:S147)</f>
        <v>0</v>
      </c>
      <c r="E148" s="139">
        <f>SUM(B148:D148)</f>
        <v>464.14137562356746</v>
      </c>
      <c r="F148" s="126">
        <f>SUM(V145:V147)</f>
        <v>18.783017543694115</v>
      </c>
      <c r="G148" s="238"/>
      <c r="H148" s="83"/>
      <c r="I148" s="325"/>
      <c r="J148" s="85"/>
      <c r="K148" s="87"/>
      <c r="L148" s="87"/>
      <c r="M148" s="87"/>
      <c r="N148" s="87"/>
      <c r="O148" s="88"/>
      <c r="P148" s="326"/>
      <c r="Q148" s="327"/>
      <c r="R148" s="328"/>
      <c r="S148" s="329"/>
      <c r="T148" s="92"/>
      <c r="U148" s="232"/>
      <c r="V148" s="255"/>
    </row>
    <row r="149" spans="1:22" s="41" customFormat="1" ht="54" customHeight="1" x14ac:dyDescent="0.25">
      <c r="A149" s="343">
        <v>25</v>
      </c>
      <c r="B149" s="60"/>
      <c r="C149" s="60"/>
      <c r="D149" s="60"/>
      <c r="E149" s="63"/>
      <c r="F149" s="64"/>
      <c r="G149" s="162" t="s">
        <v>487</v>
      </c>
      <c r="H149" s="78" t="s">
        <v>498</v>
      </c>
      <c r="I149" s="194">
        <v>2050</v>
      </c>
      <c r="J149" s="146">
        <v>15</v>
      </c>
      <c r="K149" s="195">
        <v>1</v>
      </c>
      <c r="L149" s="153"/>
      <c r="M149" s="196">
        <f>J149*K149/60</f>
        <v>0.25</v>
      </c>
      <c r="N149" s="196">
        <f>J149*L149/60</f>
        <v>0</v>
      </c>
      <c r="O149" s="233"/>
      <c r="P149" s="197"/>
      <c r="Q149" s="198"/>
      <c r="R149" s="153"/>
      <c r="S149" s="199"/>
      <c r="T149" s="156"/>
      <c r="U149" s="197" t="s">
        <v>436</v>
      </c>
      <c r="V149" s="256"/>
    </row>
    <row r="150" spans="1:22" s="41" customFormat="1" ht="69" customHeight="1" x14ac:dyDescent="0.25">
      <c r="A150" s="343">
        <v>25</v>
      </c>
      <c r="B150" s="60"/>
      <c r="C150" s="60"/>
      <c r="D150" s="60"/>
      <c r="E150" s="63"/>
      <c r="F150" s="64"/>
      <c r="G150" s="162" t="s">
        <v>491</v>
      </c>
      <c r="H150" s="78" t="s">
        <v>499</v>
      </c>
      <c r="I150" s="194">
        <v>2050</v>
      </c>
      <c r="J150" s="146">
        <f>54*8</f>
        <v>432</v>
      </c>
      <c r="K150" s="153">
        <v>1</v>
      </c>
      <c r="L150" s="153"/>
      <c r="M150" s="196">
        <f>J150*K150/60</f>
        <v>7.2</v>
      </c>
      <c r="N150" s="196">
        <f>J150*L150/60</f>
        <v>0</v>
      </c>
      <c r="O150" s="155" t="s">
        <v>505</v>
      </c>
      <c r="P150" s="197"/>
      <c r="Q150" s="198" t="s">
        <v>503</v>
      </c>
      <c r="R150" s="153"/>
      <c r="S150" s="199"/>
      <c r="T150" s="156" t="s">
        <v>501</v>
      </c>
      <c r="U150" s="163" t="s">
        <v>502</v>
      </c>
      <c r="V150" s="257"/>
    </row>
    <row r="151" spans="1:22" s="41" customFormat="1" ht="69" customHeight="1" x14ac:dyDescent="0.25">
      <c r="A151" s="343">
        <v>25</v>
      </c>
      <c r="B151" s="60"/>
      <c r="C151" s="60"/>
      <c r="D151" s="60"/>
      <c r="E151" s="63"/>
      <c r="F151" s="64"/>
      <c r="G151" s="170" t="s">
        <v>632</v>
      </c>
      <c r="H151" s="312" t="s">
        <v>634</v>
      </c>
      <c r="I151" s="234">
        <v>2050</v>
      </c>
      <c r="J151" s="164">
        <f>20*9</f>
        <v>180</v>
      </c>
      <c r="K151" s="235">
        <v>1</v>
      </c>
      <c r="L151" s="235"/>
      <c r="M151" s="236">
        <f>J151*K151/60</f>
        <v>3</v>
      </c>
      <c r="N151" s="236">
        <f>J151*L151/60</f>
        <v>0</v>
      </c>
      <c r="O151" s="313" t="s">
        <v>635</v>
      </c>
      <c r="P151" s="315" t="s">
        <v>636</v>
      </c>
      <c r="Q151" s="313"/>
      <c r="R151" s="239"/>
      <c r="S151" s="331"/>
      <c r="T151" s="313" t="s">
        <v>623</v>
      </c>
      <c r="U151" s="237" t="s">
        <v>436</v>
      </c>
      <c r="V151" s="255">
        <f>Futterlauberlöse!A32*(1+3%)^25</f>
        <v>19.346508070004937</v>
      </c>
    </row>
    <row r="152" spans="1:22" s="41" customFormat="1" ht="69" customHeight="1" x14ac:dyDescent="0.25">
      <c r="A152" s="343">
        <v>25</v>
      </c>
      <c r="B152" s="60"/>
      <c r="C152" s="60"/>
      <c r="D152" s="60"/>
      <c r="E152" s="63"/>
      <c r="F152" s="64"/>
      <c r="G152" s="170" t="s">
        <v>507</v>
      </c>
      <c r="H152" s="170" t="s">
        <v>638</v>
      </c>
      <c r="I152" s="234">
        <v>2050</v>
      </c>
      <c r="J152" s="164">
        <f>30*20</f>
        <v>600</v>
      </c>
      <c r="K152" s="239">
        <v>1</v>
      </c>
      <c r="L152" s="239">
        <v>1</v>
      </c>
      <c r="M152" s="236">
        <f>J152*K152/60</f>
        <v>10</v>
      </c>
      <c r="N152" s="236">
        <f>J152*L152/60</f>
        <v>10</v>
      </c>
      <c r="O152" s="172" t="s">
        <v>509</v>
      </c>
      <c r="P152" s="237" t="s">
        <v>595</v>
      </c>
      <c r="Q152" s="313" t="s">
        <v>639</v>
      </c>
      <c r="R152" s="317" t="s">
        <v>640</v>
      </c>
      <c r="S152" s="246">
        <f>35*M152</f>
        <v>350</v>
      </c>
      <c r="T152" s="313" t="s">
        <v>637</v>
      </c>
      <c r="U152" s="237" t="s">
        <v>521</v>
      </c>
      <c r="V152" s="255">
        <f>Pappelerlöse!A11</f>
        <v>5339.1337206182461</v>
      </c>
    </row>
    <row r="153" spans="1:22" s="41" customFormat="1" ht="84.75" customHeight="1" thickBot="1" x14ac:dyDescent="0.3">
      <c r="A153" s="343">
        <v>25</v>
      </c>
      <c r="B153" s="60"/>
      <c r="C153" s="60"/>
      <c r="D153" s="60"/>
      <c r="E153" s="63"/>
      <c r="F153" s="64"/>
      <c r="G153" s="170" t="s">
        <v>644</v>
      </c>
      <c r="H153" s="170" t="s">
        <v>645</v>
      </c>
      <c r="I153" s="234">
        <v>2050</v>
      </c>
      <c r="J153" s="164"/>
      <c r="K153" s="239"/>
      <c r="L153" s="239"/>
      <c r="M153" s="236">
        <f>J153*K153/60</f>
        <v>0</v>
      </c>
      <c r="N153" s="236">
        <f>J153*L153/60</f>
        <v>0</v>
      </c>
      <c r="O153" s="168"/>
      <c r="P153" s="237"/>
      <c r="Q153" s="313"/>
      <c r="R153" s="245"/>
      <c r="S153" s="246"/>
      <c r="T153" s="313"/>
      <c r="U153" s="237"/>
      <c r="V153" s="255"/>
    </row>
    <row r="154" spans="1:22" s="94" customFormat="1" ht="36" customHeight="1" thickBot="1" x14ac:dyDescent="0.3">
      <c r="A154" s="122">
        <v>25</v>
      </c>
      <c r="B154" s="138">
        <f>(SUM(M149:M153)*D8)*(1+2%)^25</f>
        <v>738.10863690968176</v>
      </c>
      <c r="C154" s="138">
        <f>(SUM(N149:N153)*D9)*(1+2%)^25</f>
        <v>228.0442332305974</v>
      </c>
      <c r="D154" s="123">
        <f>SUM(S149:S153)</f>
        <v>350</v>
      </c>
      <c r="E154" s="139">
        <f>SUM(B154:D154)</f>
        <v>1316.1528701402792</v>
      </c>
      <c r="F154" s="126">
        <f>SUM(V149:V153)</f>
        <v>5358.4802286882514</v>
      </c>
      <c r="G154" s="108"/>
      <c r="H154" s="83"/>
      <c r="I154" s="84"/>
      <c r="J154" s="85"/>
      <c r="K154" s="131"/>
      <c r="L154" s="87"/>
      <c r="M154" s="131"/>
      <c r="N154" s="87"/>
      <c r="O154" s="88"/>
      <c r="P154" s="89"/>
      <c r="Q154" s="90"/>
      <c r="R154" s="86"/>
      <c r="S154" s="91"/>
      <c r="T154" s="92"/>
      <c r="U154" s="232"/>
      <c r="V154" s="255"/>
    </row>
    <row r="155" spans="1:22" s="41" customFormat="1" ht="145.5" customHeight="1" x14ac:dyDescent="0.25">
      <c r="A155" s="105"/>
      <c r="B155" s="60"/>
      <c r="C155" s="60"/>
      <c r="D155" s="60"/>
      <c r="E155" s="63"/>
      <c r="F155" s="64"/>
      <c r="G155" s="259" t="s">
        <v>537</v>
      </c>
      <c r="H155" s="188" t="s">
        <v>524</v>
      </c>
      <c r="I155" s="260"/>
      <c r="J155" s="190">
        <f>30*100</f>
        <v>3000</v>
      </c>
      <c r="K155" s="261">
        <v>1</v>
      </c>
      <c r="L155" s="261"/>
      <c r="M155" s="262">
        <f>J155*K155/60</f>
        <v>50</v>
      </c>
      <c r="N155" s="262">
        <f>J155*L155/60</f>
        <v>0</v>
      </c>
      <c r="O155" s="191" t="s">
        <v>525</v>
      </c>
      <c r="P155" s="258"/>
      <c r="Q155" s="316"/>
      <c r="R155" s="263"/>
      <c r="S155" s="246"/>
      <c r="T155" s="266" t="s">
        <v>572</v>
      </c>
      <c r="U155" s="258" t="s">
        <v>436</v>
      </c>
      <c r="V155" s="251"/>
    </row>
    <row r="156" spans="1:22" s="41" customFormat="1" ht="159" customHeight="1" x14ac:dyDescent="0.25">
      <c r="A156" s="105"/>
      <c r="B156" s="60"/>
      <c r="C156" s="60"/>
      <c r="D156" s="60"/>
      <c r="E156" s="63"/>
      <c r="F156" s="64"/>
      <c r="G156" s="264" t="s">
        <v>536</v>
      </c>
      <c r="H156" s="171" t="s">
        <v>508</v>
      </c>
      <c r="I156" s="260"/>
      <c r="J156" s="164"/>
      <c r="K156" s="239"/>
      <c r="L156" s="239"/>
      <c r="M156" s="332"/>
      <c r="N156" s="332"/>
      <c r="O156" s="189"/>
      <c r="P156" s="237"/>
      <c r="Q156" s="316"/>
      <c r="R156" s="263" t="s">
        <v>425</v>
      </c>
      <c r="S156" s="265"/>
      <c r="T156" s="267" t="s">
        <v>535</v>
      </c>
      <c r="U156" s="237" t="s">
        <v>522</v>
      </c>
      <c r="V156" s="255"/>
    </row>
  </sheetData>
  <mergeCells count="5">
    <mergeCell ref="J10:O10"/>
    <mergeCell ref="Q10:S10"/>
    <mergeCell ref="E8:E9"/>
    <mergeCell ref="B8:C8"/>
    <mergeCell ref="B9:C9"/>
  </mergeCells>
  <hyperlinks>
    <hyperlink ref="U130" r:id="rId1" xr:uid="{A9DFBAEB-CCB6-411D-AEC9-66FA7692D196}"/>
    <hyperlink ref="U136" r:id="rId2" xr:uid="{3B55CC24-75AA-493F-B93E-1367047FF393}"/>
    <hyperlink ref="U140" r:id="rId3" xr:uid="{B1A404A5-5FCB-49BE-8084-4D7F06DDE2AE}"/>
    <hyperlink ref="U146" r:id="rId4" xr:uid="{3878FA1C-7776-4073-8A84-AB6719694F51}"/>
    <hyperlink ref="U150" r:id="rId5" xr:uid="{2CA4FF8A-FD1D-4E99-A77B-C726FF0C9912}"/>
    <hyperlink ref="U82" r:id="rId6" xr:uid="{966455EF-CCE4-4102-8EF6-BD406D09FAE2}"/>
    <hyperlink ref="U86" r:id="rId7" xr:uid="{387E3057-86C1-4EBA-A4AE-CF3E634C42BD}"/>
    <hyperlink ref="U90" r:id="rId8" xr:uid="{2003A8C4-02CD-44F8-8C0D-243ECE71E3C8}"/>
    <hyperlink ref="U94" r:id="rId9" xr:uid="{992B5743-D74F-421D-8615-2B323EB2DC5B}"/>
    <hyperlink ref="U98" r:id="rId10" xr:uid="{7636DBF3-20D7-4B66-8854-113473C4AB58}"/>
    <hyperlink ref="U102" r:id="rId11" xr:uid="{8EDF6C7F-6BDD-482F-BC96-D111F4D3E345}"/>
    <hyperlink ref="U106" r:id="rId12" xr:uid="{27BE8F24-323B-42B6-A177-EF03C1243BCD}"/>
    <hyperlink ref="U110" r:id="rId13" xr:uid="{34A4F09C-E64C-4F2A-9D80-D7A66A45A90F}"/>
    <hyperlink ref="U114" r:id="rId14" xr:uid="{DF4FA4EC-3B0B-441B-BAC2-A3247E44C470}"/>
    <hyperlink ref="U118" r:id="rId15" xr:uid="{9E8ADC7B-C50A-4081-9641-47631413AABC}"/>
    <hyperlink ref="U122" r:id="rId16" xr:uid="{87F68AF8-3B5B-4ABB-BAFB-388718D21045}"/>
    <hyperlink ref="U126" r:id="rId17" xr:uid="{9D664439-353C-4F05-BC99-2AE6F2EEE054}"/>
    <hyperlink ref="H156" r:id="rId18" xr:uid="{B7CD47BF-77CA-4A8D-B0B4-C1FD60ACEAF8}"/>
    <hyperlink ref="O142" r:id="rId19" xr:uid="{657E7DC5-9299-4AAA-9594-C5AF59E60148}"/>
    <hyperlink ref="O132" r:id="rId20" xr:uid="{0A8FE83B-2603-4211-94B8-93DAC298073C}"/>
    <hyperlink ref="O152" r:id="rId21" xr:uid="{5BD8866E-0484-456C-B9C3-65045A17768E}"/>
  </hyperlinks>
  <pageMargins left="0.7" right="0.7" top="0.78740157499999996" bottom="0.78740157499999996" header="0.3" footer="0.3"/>
  <pageSetup paperSize="9" orientation="portrait" r:id="rId22"/>
  <legacy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CFA55-F3F5-4DD5-A75A-E4B2AED4C19D}">
  <dimension ref="A1:L21"/>
  <sheetViews>
    <sheetView workbookViewId="0">
      <selection activeCell="F23" sqref="F23"/>
    </sheetView>
  </sheetViews>
  <sheetFormatPr baseColWidth="10" defaultRowHeight="15.75" x14ac:dyDescent="0.25"/>
  <cols>
    <col min="1" max="1" width="15.375" customWidth="1"/>
    <col min="12" max="12" width="76" customWidth="1"/>
  </cols>
  <sheetData>
    <row r="1" spans="1:12" ht="36.75" customHeight="1" x14ac:dyDescent="0.25">
      <c r="A1" s="290" t="s">
        <v>516</v>
      </c>
      <c r="L1" s="179"/>
    </row>
    <row r="2" spans="1:12" x14ac:dyDescent="0.25">
      <c r="A2" s="320" t="s">
        <v>651</v>
      </c>
    </row>
    <row r="3" spans="1:12" x14ac:dyDescent="0.25">
      <c r="A3" s="281" t="s">
        <v>511</v>
      </c>
      <c r="B3" s="281"/>
      <c r="C3" s="281"/>
      <c r="D3" s="281"/>
      <c r="E3" s="281"/>
      <c r="L3" s="296"/>
    </row>
    <row r="4" spans="1:12" x14ac:dyDescent="0.25">
      <c r="A4" s="281" t="s">
        <v>512</v>
      </c>
      <c r="B4" s="281"/>
      <c r="C4" s="281"/>
      <c r="D4" s="281"/>
      <c r="E4" s="281"/>
      <c r="L4" s="297"/>
    </row>
    <row r="5" spans="1:12" x14ac:dyDescent="0.25">
      <c r="A5" s="281"/>
      <c r="B5" s="281"/>
      <c r="C5" s="281"/>
      <c r="D5" s="281"/>
      <c r="E5" s="281"/>
      <c r="L5" s="294"/>
    </row>
    <row r="6" spans="1:12" s="175" customFormat="1" x14ac:dyDescent="0.25">
      <c r="A6" s="281" t="s">
        <v>513</v>
      </c>
      <c r="B6" s="281"/>
      <c r="C6" s="281"/>
      <c r="D6" s="281"/>
      <c r="E6" s="281"/>
      <c r="L6" s="295"/>
    </row>
    <row r="7" spans="1:12" x14ac:dyDescent="0.25">
      <c r="A7" s="281"/>
      <c r="B7" s="281"/>
      <c r="C7" s="281"/>
      <c r="D7" s="281"/>
      <c r="E7" s="281"/>
    </row>
    <row r="8" spans="1:12" x14ac:dyDescent="0.25">
      <c r="A8" s="281" t="s">
        <v>661</v>
      </c>
      <c r="B8" s="281" t="s">
        <v>662</v>
      </c>
      <c r="C8" s="281"/>
      <c r="D8" s="281"/>
      <c r="E8" s="281"/>
    </row>
    <row r="9" spans="1:12" x14ac:dyDescent="0.25">
      <c r="A9" s="281" t="s">
        <v>663</v>
      </c>
      <c r="B9" s="281" t="s">
        <v>664</v>
      </c>
      <c r="C9" s="281"/>
      <c r="D9" s="281"/>
      <c r="E9" s="281"/>
    </row>
    <row r="10" spans="1:12" s="175" customFormat="1" x14ac:dyDescent="0.25">
      <c r="A10" s="287">
        <f>(85*(1+3%)^25)*1.5</f>
        <v>266.95668603091229</v>
      </c>
      <c r="B10" s="281" t="s">
        <v>515</v>
      </c>
      <c r="C10" s="281"/>
      <c r="D10" s="281"/>
      <c r="E10" s="281"/>
    </row>
    <row r="11" spans="1:12" s="174" customFormat="1" x14ac:dyDescent="0.25">
      <c r="A11" s="288">
        <f>A10*20</f>
        <v>5339.1337206182461</v>
      </c>
      <c r="B11" s="289" t="s">
        <v>514</v>
      </c>
      <c r="C11" s="289"/>
      <c r="D11" s="289"/>
      <c r="E11" s="289"/>
    </row>
    <row r="12" spans="1:12" x14ac:dyDescent="0.25">
      <c r="A12" s="288"/>
      <c r="B12" s="289"/>
      <c r="C12" s="281"/>
      <c r="D12" s="281"/>
      <c r="E12" s="281"/>
    </row>
    <row r="13" spans="1:12" x14ac:dyDescent="0.25">
      <c r="A13" s="281" t="s">
        <v>665</v>
      </c>
      <c r="B13" s="281" t="s">
        <v>666</v>
      </c>
      <c r="C13" s="281"/>
      <c r="D13" s="281"/>
      <c r="E13" s="281"/>
    </row>
    <row r="14" spans="1:12" x14ac:dyDescent="0.25">
      <c r="A14" s="281" t="s">
        <v>667</v>
      </c>
      <c r="B14" s="281" t="s">
        <v>668</v>
      </c>
      <c r="C14" s="281"/>
      <c r="D14" s="281"/>
      <c r="E14" s="281"/>
    </row>
    <row r="15" spans="1:12" s="175" customFormat="1" x14ac:dyDescent="0.25">
      <c r="A15" s="287">
        <f>(85*(1+3%)^23)*1.3</f>
        <v>218.08130947948976</v>
      </c>
      <c r="B15" s="281" t="s">
        <v>515</v>
      </c>
      <c r="C15" s="281"/>
      <c r="D15" s="281"/>
      <c r="E15" s="281"/>
    </row>
    <row r="16" spans="1:12" s="174" customFormat="1" x14ac:dyDescent="0.25">
      <c r="A16" s="288">
        <f>A15*20</f>
        <v>4361.6261895897951</v>
      </c>
      <c r="B16" s="289" t="s">
        <v>514</v>
      </c>
      <c r="C16" s="289"/>
      <c r="D16" s="289"/>
      <c r="E16" s="289"/>
    </row>
    <row r="17" spans="1:5" x14ac:dyDescent="0.25">
      <c r="A17" s="281"/>
      <c r="B17" s="281"/>
      <c r="C17" s="281"/>
      <c r="D17" s="281"/>
      <c r="E17" s="281"/>
    </row>
    <row r="18" spans="1:5" x14ac:dyDescent="0.25">
      <c r="A18" s="281" t="s">
        <v>669</v>
      </c>
      <c r="B18" s="281" t="s">
        <v>670</v>
      </c>
      <c r="C18" s="281"/>
      <c r="D18" s="281"/>
      <c r="E18" s="281"/>
    </row>
    <row r="19" spans="1:5" x14ac:dyDescent="0.25">
      <c r="A19" s="281" t="s">
        <v>667</v>
      </c>
      <c r="B19" s="281" t="s">
        <v>671</v>
      </c>
      <c r="C19" s="281"/>
      <c r="D19" s="281"/>
      <c r="E19" s="281"/>
    </row>
    <row r="20" spans="1:5" x14ac:dyDescent="0.25">
      <c r="A20" s="287">
        <f>(85*(1+3%)^21)*1.05</f>
        <v>166.03129052507248</v>
      </c>
      <c r="B20" s="281" t="s">
        <v>515</v>
      </c>
      <c r="C20" s="281"/>
      <c r="D20" s="281"/>
      <c r="E20" s="281"/>
    </row>
    <row r="21" spans="1:5" x14ac:dyDescent="0.25">
      <c r="A21" s="288">
        <f>A20*20</f>
        <v>3320.6258105014495</v>
      </c>
      <c r="B21" s="289" t="s">
        <v>514</v>
      </c>
      <c r="C21" s="281"/>
      <c r="D21" s="281"/>
      <c r="E21" s="281"/>
    </row>
  </sheetData>
  <pageMargins left="0.7" right="0.7" top="0.78740157499999996" bottom="0.78740157499999996"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2A50-3396-47B4-AC19-492735125973}">
  <dimension ref="A1:P33"/>
  <sheetViews>
    <sheetView zoomScale="90" zoomScaleNormal="90" workbookViewId="0">
      <selection activeCell="G35" sqref="G35"/>
    </sheetView>
  </sheetViews>
  <sheetFormatPr baseColWidth="10" defaultRowHeight="15.75" x14ac:dyDescent="0.25"/>
  <cols>
    <col min="1" max="1" width="21" customWidth="1"/>
    <col min="7" max="7" width="19.875" customWidth="1"/>
  </cols>
  <sheetData>
    <row r="1" spans="1:16" ht="36.75" customHeight="1" x14ac:dyDescent="0.25">
      <c r="A1" s="305" t="s">
        <v>564</v>
      </c>
      <c r="L1" s="180"/>
    </row>
    <row r="2" spans="1:16" s="175" customFormat="1" ht="33" customHeight="1" x14ac:dyDescent="0.25">
      <c r="A2" s="528" t="s">
        <v>565</v>
      </c>
      <c r="B2" s="528"/>
      <c r="C2" s="528"/>
      <c r="D2" s="528"/>
      <c r="E2" s="528"/>
      <c r="F2" s="528"/>
      <c r="G2" s="528"/>
      <c r="H2" s="528"/>
      <c r="I2" s="528"/>
      <c r="J2" s="528"/>
      <c r="K2" s="528"/>
      <c r="L2" s="528"/>
      <c r="M2" s="528"/>
      <c r="N2" s="528"/>
      <c r="O2" s="528"/>
      <c r="P2" s="528"/>
    </row>
    <row r="3" spans="1:16" s="281" customFormat="1" ht="19.5" customHeight="1" x14ac:dyDescent="0.25">
      <c r="A3" s="301" t="s">
        <v>622</v>
      </c>
      <c r="L3" s="303"/>
    </row>
    <row r="4" spans="1:16" s="281" customFormat="1" x14ac:dyDescent="0.25"/>
    <row r="5" spans="1:16" s="281" customFormat="1" x14ac:dyDescent="0.25">
      <c r="A5" s="281" t="s">
        <v>672</v>
      </c>
      <c r="B5" s="281" t="s">
        <v>673</v>
      </c>
    </row>
    <row r="6" spans="1:16" s="281" customFormat="1" x14ac:dyDescent="0.25"/>
    <row r="7" spans="1:16" s="281" customFormat="1" x14ac:dyDescent="0.25"/>
    <row r="8" spans="1:16" s="306" customFormat="1" ht="21" x14ac:dyDescent="0.35">
      <c r="A8" s="441" t="s">
        <v>517</v>
      </c>
      <c r="B8" s="442"/>
      <c r="C8" s="442"/>
      <c r="D8" s="442"/>
      <c r="E8" s="442"/>
      <c r="F8" s="442"/>
      <c r="G8" s="442"/>
      <c r="H8" s="442"/>
      <c r="I8" s="442"/>
      <c r="J8" s="442"/>
      <c r="K8" s="442"/>
      <c r="L8" s="442"/>
      <c r="M8" s="442"/>
      <c r="N8" s="442"/>
      <c r="O8" s="442"/>
      <c r="P8" s="442"/>
    </row>
    <row r="9" spans="1:16" s="281" customFormat="1" ht="18" customHeight="1" x14ac:dyDescent="0.25">
      <c r="A9" s="281" t="s">
        <v>674</v>
      </c>
      <c r="B9" s="281" t="s">
        <v>675</v>
      </c>
      <c r="H9" s="281" t="s">
        <v>676</v>
      </c>
    </row>
    <row r="10" spans="1:16" s="281" customFormat="1" ht="24.75" customHeight="1" x14ac:dyDescent="0.25">
      <c r="A10" s="446" t="s">
        <v>678</v>
      </c>
      <c r="B10" s="303" t="s">
        <v>694</v>
      </c>
      <c r="H10" s="281" t="s">
        <v>677</v>
      </c>
    </row>
    <row r="11" spans="1:16" s="281" customFormat="1" ht="21" customHeight="1" x14ac:dyDescent="0.25">
      <c r="A11" s="446"/>
      <c r="B11" s="303" t="s">
        <v>519</v>
      </c>
    </row>
    <row r="12" spans="1:16" s="281" customFormat="1" x14ac:dyDescent="0.25"/>
    <row r="13" spans="1:16" s="281" customFormat="1" x14ac:dyDescent="0.25">
      <c r="A13" s="443" t="s">
        <v>518</v>
      </c>
      <c r="B13" s="444"/>
    </row>
    <row r="14" spans="1:16" s="281" customFormat="1" ht="21" customHeight="1" x14ac:dyDescent="0.25">
      <c r="A14" s="281" t="s">
        <v>681</v>
      </c>
      <c r="B14" s="281" t="s">
        <v>679</v>
      </c>
      <c r="H14" s="281" t="s">
        <v>680</v>
      </c>
    </row>
    <row r="15" spans="1:16" s="281" customFormat="1" ht="20.25" customHeight="1" x14ac:dyDescent="0.25">
      <c r="B15" s="281" t="s">
        <v>551</v>
      </c>
    </row>
    <row r="16" spans="1:16" s="281" customFormat="1" ht="32.25" customHeight="1" x14ac:dyDescent="0.25">
      <c r="A16" s="446" t="s">
        <v>684</v>
      </c>
      <c r="B16" s="303" t="s">
        <v>685</v>
      </c>
    </row>
    <row r="17" spans="1:16" s="281" customFormat="1" ht="21" customHeight="1" x14ac:dyDescent="0.25">
      <c r="A17" s="409" t="s">
        <v>682</v>
      </c>
      <c r="B17" s="303" t="s">
        <v>686</v>
      </c>
    </row>
    <row r="18" spans="1:16" s="281" customFormat="1" ht="21" customHeight="1" x14ac:dyDescent="0.25">
      <c r="A18" s="409" t="s">
        <v>683</v>
      </c>
      <c r="B18" s="409" t="s">
        <v>687</v>
      </c>
    </row>
    <row r="19" spans="1:16" s="281" customFormat="1" x14ac:dyDescent="0.25"/>
    <row r="20" spans="1:16" s="281" customFormat="1" x14ac:dyDescent="0.25">
      <c r="A20" s="443" t="s">
        <v>562</v>
      </c>
      <c r="B20" s="444"/>
    </row>
    <row r="21" spans="1:16" s="281" customFormat="1" x14ac:dyDescent="0.25">
      <c r="A21" s="281" t="s">
        <v>520</v>
      </c>
    </row>
    <row r="22" spans="1:16" s="281" customFormat="1" x14ac:dyDescent="0.25"/>
    <row r="23" spans="1:16" s="281" customFormat="1" x14ac:dyDescent="0.25">
      <c r="A23" s="443" t="s">
        <v>561</v>
      </c>
      <c r="B23" s="444"/>
    </row>
    <row r="24" spans="1:16" s="303" customFormat="1" ht="21.75" customHeight="1" x14ac:dyDescent="0.25">
      <c r="A24" s="303" t="s">
        <v>688</v>
      </c>
      <c r="B24" s="303" t="s">
        <v>689</v>
      </c>
    </row>
    <row r="25" spans="1:16" s="303" customFormat="1" ht="21" customHeight="1" x14ac:dyDescent="0.25">
      <c r="A25" s="303" t="s">
        <v>690</v>
      </c>
      <c r="B25" s="303" t="s">
        <v>691</v>
      </c>
    </row>
    <row r="26" spans="1:16" s="303" customFormat="1" ht="21" customHeight="1" x14ac:dyDescent="0.25">
      <c r="A26" s="303" t="s">
        <v>692</v>
      </c>
      <c r="B26" s="303" t="s">
        <v>693</v>
      </c>
    </row>
    <row r="27" spans="1:16" s="281" customFormat="1" x14ac:dyDescent="0.25"/>
    <row r="28" spans="1:16" x14ac:dyDescent="0.25">
      <c r="A28" s="281"/>
      <c r="B28" s="281"/>
      <c r="C28" s="281"/>
      <c r="D28" s="281"/>
      <c r="E28" s="281"/>
      <c r="F28" s="281"/>
    </row>
    <row r="29" spans="1:16" s="302" customFormat="1" ht="21" x14ac:dyDescent="0.35">
      <c r="A29" s="441" t="s">
        <v>527</v>
      </c>
      <c r="B29" s="442"/>
      <c r="C29" s="442"/>
      <c r="D29" s="442"/>
      <c r="E29" s="442"/>
      <c r="F29" s="442"/>
      <c r="G29" s="445"/>
      <c r="H29" s="445"/>
      <c r="I29" s="445"/>
      <c r="J29" s="445"/>
      <c r="K29" s="445"/>
      <c r="L29" s="445"/>
      <c r="M29" s="445"/>
      <c r="N29" s="445"/>
      <c r="O29" s="445"/>
      <c r="P29" s="445"/>
    </row>
    <row r="30" spans="1:16" s="281" customFormat="1" x14ac:dyDescent="0.25">
      <c r="A30" s="443" t="s">
        <v>560</v>
      </c>
      <c r="B30" s="443"/>
      <c r="C30" s="443"/>
      <c r="D30" s="443"/>
      <c r="E30" s="443"/>
      <c r="F30" s="444"/>
      <c r="G30" s="444"/>
      <c r="H30" s="444" t="s">
        <v>526</v>
      </c>
      <c r="I30" s="444"/>
      <c r="J30" s="444"/>
      <c r="K30" s="444"/>
      <c r="L30" s="444"/>
      <c r="M30" s="444"/>
      <c r="N30" s="444"/>
      <c r="O30" s="444"/>
      <c r="P30" s="444"/>
    </row>
    <row r="31" spans="1:16" s="281" customFormat="1" x14ac:dyDescent="0.25">
      <c r="A31" s="281" t="s">
        <v>695</v>
      </c>
      <c r="B31" s="281" t="s">
        <v>696</v>
      </c>
    </row>
    <row r="32" spans="1:16" s="281" customFormat="1" x14ac:dyDescent="0.25">
      <c r="A32" s="291">
        <f>9.24</f>
        <v>9.24</v>
      </c>
      <c r="B32" s="292" t="s">
        <v>553</v>
      </c>
      <c r="C32" s="293"/>
      <c r="D32" s="293" t="s">
        <v>513</v>
      </c>
      <c r="E32" s="293"/>
    </row>
    <row r="33" spans="1:5" s="281" customFormat="1" x14ac:dyDescent="0.25">
      <c r="A33" s="298">
        <f>A32*0.7</f>
        <v>6.468</v>
      </c>
      <c r="B33" s="292" t="s">
        <v>633</v>
      </c>
      <c r="C33" s="293"/>
      <c r="D33" s="293"/>
      <c r="E33" s="293"/>
    </row>
  </sheetData>
  <mergeCells count="1">
    <mergeCell ref="A2:P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90"/>
  <sheetViews>
    <sheetView workbookViewId="0">
      <pane xSplit="1" ySplit="1" topLeftCell="F2" activePane="bottomRight" state="frozen"/>
      <selection pane="topRight" activeCell="B1" sqref="B1"/>
      <selection pane="bottomLeft" activeCell="A2" sqref="A2"/>
      <selection pane="bottomRight" activeCell="AF21" sqref="AF2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9</v>
      </c>
      <c r="B1" s="14" t="s">
        <v>21</v>
      </c>
      <c r="C1" s="14" t="s">
        <v>22</v>
      </c>
      <c r="D1" s="14" t="s">
        <v>23</v>
      </c>
      <c r="E1" s="14" t="s">
        <v>24</v>
      </c>
      <c r="F1" s="14" t="s">
        <v>25</v>
      </c>
      <c r="G1" s="14" t="s">
        <v>26</v>
      </c>
      <c r="H1" s="14" t="s">
        <v>27</v>
      </c>
      <c r="I1" s="14" t="s">
        <v>28</v>
      </c>
      <c r="J1" s="14" t="s">
        <v>29</v>
      </c>
      <c r="K1" s="14" t="s">
        <v>30</v>
      </c>
      <c r="L1" s="14" t="s">
        <v>32</v>
      </c>
      <c r="M1" s="14" t="s">
        <v>31</v>
      </c>
      <c r="N1" s="14" t="s">
        <v>33</v>
      </c>
      <c r="O1" s="14" t="s">
        <v>34</v>
      </c>
      <c r="P1" s="14" t="s">
        <v>35</v>
      </c>
      <c r="Q1" s="14" t="s">
        <v>36</v>
      </c>
      <c r="R1" s="14" t="s">
        <v>37</v>
      </c>
      <c r="S1" s="14" t="s">
        <v>38</v>
      </c>
      <c r="T1" s="14" t="s">
        <v>39</v>
      </c>
      <c r="U1" s="14" t="s">
        <v>40</v>
      </c>
      <c r="V1" s="14" t="s">
        <v>41</v>
      </c>
      <c r="W1" s="14" t="s">
        <v>42</v>
      </c>
      <c r="X1" s="14" t="s">
        <v>43</v>
      </c>
      <c r="Y1" s="14" t="s">
        <v>44</v>
      </c>
      <c r="Z1" s="14" t="s">
        <v>45</v>
      </c>
      <c r="AA1" s="14" t="s">
        <v>46</v>
      </c>
      <c r="AB1" s="14" t="s">
        <v>47</v>
      </c>
      <c r="AC1" s="14" t="s">
        <v>48</v>
      </c>
      <c r="AD1" s="14" t="s">
        <v>49</v>
      </c>
      <c r="AE1" s="14" t="s">
        <v>50</v>
      </c>
      <c r="AF1" s="14" t="s">
        <v>51</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v>8</v>
      </c>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8</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v>10</v>
      </c>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10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v>12</v>
      </c>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12</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v>20</v>
      </c>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20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50</v>
      </c>
      <c r="AG45" s="27">
        <f>SUM(B45:AF45)</f>
        <v>50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E0A3-83FA-4880-94A9-572E2BFFC428}">
  <dimension ref="A1:AG190"/>
  <sheetViews>
    <sheetView workbookViewId="0">
      <pane xSplit="1" ySplit="1" topLeftCell="B2" activePane="bottomRight" state="frozen"/>
      <selection pane="topRight" activeCell="B1" sqref="B1"/>
      <selection pane="bottomLeft" activeCell="A2" sqref="A2"/>
      <selection pane="bottomRight" activeCell="AD41" sqref="AD41"/>
    </sheetView>
  </sheetViews>
  <sheetFormatPr baseColWidth="10" defaultColWidth="10.75" defaultRowHeight="15" x14ac:dyDescent="0.2"/>
  <cols>
    <col min="1" max="1" width="18.625" style="2" bestFit="1" customWidth="1"/>
    <col min="2" max="2" width="9" style="6" customWidth="1"/>
    <col min="3" max="10" width="7.75" style="2" customWidth="1"/>
    <col min="11" max="11" width="7.625" style="2" customWidth="1"/>
    <col min="12" max="12" width="7.75" style="2" bestFit="1" customWidth="1"/>
    <col min="13" max="14" width="7.75" style="2" customWidth="1"/>
    <col min="15" max="15" width="8.75" style="2" bestFit="1" customWidth="1"/>
    <col min="16" max="19" width="7.75" style="2" customWidth="1"/>
    <col min="20" max="20" width="7.625" style="2" customWidth="1"/>
    <col min="21" max="24" width="7.75" style="2" customWidth="1"/>
    <col min="25" max="26" width="7.625" style="2" customWidth="1"/>
    <col min="27" max="29" width="7.75" style="2" customWidth="1"/>
    <col min="30" max="30" width="18.625" style="15" bestFit="1" customWidth="1"/>
    <col min="31" max="16384" width="10.75" style="2"/>
  </cols>
  <sheetData>
    <row r="1" spans="1:33" s="15" customFormat="1" ht="15.75" x14ac:dyDescent="0.25">
      <c r="A1" s="28" t="s">
        <v>18</v>
      </c>
      <c r="B1" s="14" t="s">
        <v>57</v>
      </c>
      <c r="C1" s="14" t="s">
        <v>58</v>
      </c>
      <c r="D1" s="14" t="s">
        <v>59</v>
      </c>
      <c r="E1" s="14" t="s">
        <v>60</v>
      </c>
      <c r="F1" s="14" t="s">
        <v>61</v>
      </c>
      <c r="G1" s="14" t="s">
        <v>62</v>
      </c>
      <c r="H1" s="14" t="s">
        <v>63</v>
      </c>
      <c r="I1" s="14" t="s">
        <v>64</v>
      </c>
      <c r="J1" s="14" t="s">
        <v>65</v>
      </c>
      <c r="K1" s="14" t="s">
        <v>66</v>
      </c>
      <c r="L1" s="14" t="s">
        <v>67</v>
      </c>
      <c r="M1" s="14" t="s">
        <v>68</v>
      </c>
      <c r="N1" s="14" t="s">
        <v>69</v>
      </c>
      <c r="O1" s="14" t="s">
        <v>70</v>
      </c>
      <c r="P1" s="14" t="s">
        <v>71</v>
      </c>
      <c r="Q1" s="14" t="s">
        <v>72</v>
      </c>
      <c r="R1" s="14" t="s">
        <v>73</v>
      </c>
      <c r="S1" s="14" t="s">
        <v>74</v>
      </c>
      <c r="T1" s="14" t="s">
        <v>75</v>
      </c>
      <c r="U1" s="14" t="s">
        <v>76</v>
      </c>
      <c r="V1" s="14" t="s">
        <v>77</v>
      </c>
      <c r="W1" s="14" t="s">
        <v>78</v>
      </c>
      <c r="X1" s="14" t="s">
        <v>79</v>
      </c>
      <c r="Y1" s="14" t="s">
        <v>80</v>
      </c>
      <c r="Z1" s="14" t="s">
        <v>81</v>
      </c>
      <c r="AA1" s="14" t="s">
        <v>82</v>
      </c>
      <c r="AB1" s="14" t="s">
        <v>56</v>
      </c>
      <c r="AC1" s="14" t="s">
        <v>55</v>
      </c>
      <c r="AD1" s="13" t="s">
        <v>52</v>
      </c>
      <c r="AE1" s="14"/>
      <c r="AF1" s="14"/>
      <c r="AG1" s="14"/>
    </row>
    <row r="2" spans="1:33"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24" t="s">
        <v>0</v>
      </c>
    </row>
    <row r="3" spans="1:33"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5"/>
    </row>
    <row r="4" spans="1:33"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5"/>
    </row>
    <row r="5" spans="1:33"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5"/>
    </row>
    <row r="6" spans="1:33"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9">
        <f>SUM(B2:AC6)</f>
        <v>0</v>
      </c>
    </row>
    <row r="7" spans="1:33"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24" t="s">
        <v>1</v>
      </c>
    </row>
    <row r="8" spans="1:33"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5"/>
    </row>
    <row r="9" spans="1:33"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5"/>
    </row>
    <row r="10" spans="1:33"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9">
        <f>SUM(B7:AC10)</f>
        <v>0</v>
      </c>
    </row>
    <row r="11" spans="1:33"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24" t="s">
        <v>3</v>
      </c>
    </row>
    <row r="12" spans="1:33"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row>
    <row r="13" spans="1:33"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row>
    <row r="14" spans="1:33"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9">
        <f>SUM(B11:AC14)</f>
        <v>0</v>
      </c>
    </row>
    <row r="15" spans="1:33"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24" t="s">
        <v>2</v>
      </c>
    </row>
    <row r="16" spans="1:33"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row>
    <row r="17" spans="1:30"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row>
    <row r="18" spans="1:30"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row>
    <row r="19" spans="1:30"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9">
        <f>SUM(B15:AC19)</f>
        <v>0</v>
      </c>
    </row>
    <row r="20" spans="1:30"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24" t="s">
        <v>4</v>
      </c>
    </row>
    <row r="21" spans="1:30"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row>
    <row r="22" spans="1:30"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row>
    <row r="23" spans="1:30"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row>
    <row r="24" spans="1:30"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9">
        <f>SUM(B20:AC24)</f>
        <v>0</v>
      </c>
    </row>
    <row r="25" spans="1:30"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24" t="s">
        <v>20</v>
      </c>
    </row>
    <row r="26" spans="1:30"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row>
    <row r="27" spans="1:30"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row>
    <row r="28" spans="1:30"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row>
    <row r="29" spans="1:30"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9">
        <f>SUM(B25:AC29)</f>
        <v>0</v>
      </c>
    </row>
    <row r="30" spans="1:30"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24" t="s">
        <v>5</v>
      </c>
    </row>
    <row r="31" spans="1:30"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row>
    <row r="32" spans="1:30"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row>
    <row r="33" spans="1:30"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row>
    <row r="34" spans="1:30"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9">
        <f>SUM(B30:AC34)</f>
        <v>0</v>
      </c>
    </row>
    <row r="35" spans="1:30"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26" t="s">
        <v>12</v>
      </c>
    </row>
    <row r="36" spans="1:30"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20"/>
    </row>
    <row r="37" spans="1:30"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9">
        <f>SUM(B35:AC37)</f>
        <v>0</v>
      </c>
    </row>
    <row r="38" spans="1:30"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26" t="s">
        <v>12</v>
      </c>
    </row>
    <row r="39" spans="1:30"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row>
    <row r="40" spans="1:30"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9">
        <f>SUM(B38:AC40)</f>
        <v>0</v>
      </c>
    </row>
    <row r="41" spans="1:30"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24" t="s">
        <v>388</v>
      </c>
    </row>
    <row r="42" spans="1:30"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row>
    <row r="43" spans="1:30"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row>
    <row r="44" spans="1:30"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9">
        <f>SUM(B41:AC44)</f>
        <v>0</v>
      </c>
    </row>
    <row r="45" spans="1:30" s="15" customFormat="1" ht="15.75" x14ac:dyDescent="0.25">
      <c r="A45" s="24" t="s">
        <v>19</v>
      </c>
      <c r="B45" s="25">
        <f>SUM(B2:B44)</f>
        <v>0</v>
      </c>
      <c r="C45" s="25">
        <f t="shared" ref="C45:AC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7">
        <f>SUM(B45:AC45)</f>
        <v>0</v>
      </c>
    </row>
    <row r="46" spans="1:30" x14ac:dyDescent="0.2">
      <c r="B46" s="5"/>
    </row>
    <row r="47" spans="1:30" s="4" customFormat="1" ht="15.75" x14ac:dyDescent="0.25">
      <c r="B47" s="9"/>
      <c r="AD47" s="16"/>
    </row>
    <row r="48" spans="1:30" s="4" customFormat="1" x14ac:dyDescent="0.2">
      <c r="B48" s="7"/>
      <c r="AD48" s="16"/>
    </row>
    <row r="49" spans="2:30" s="4" customFormat="1" x14ac:dyDescent="0.2">
      <c r="B49" s="7"/>
      <c r="AD49" s="16"/>
    </row>
    <row r="50" spans="2:30" s="4" customFormat="1" x14ac:dyDescent="0.2">
      <c r="B50" s="7"/>
      <c r="C50" s="10"/>
      <c r="AD50" s="16"/>
    </row>
    <row r="51" spans="2:30" s="4" customFormat="1" x14ac:dyDescent="0.2">
      <c r="B51" s="7"/>
      <c r="AD51" s="16"/>
    </row>
    <row r="52" spans="2:30" s="4" customFormat="1" x14ac:dyDescent="0.2">
      <c r="B52" s="7"/>
      <c r="L52" s="10"/>
      <c r="AD52" s="16"/>
    </row>
    <row r="53" spans="2:30" s="4" customFormat="1" x14ac:dyDescent="0.2">
      <c r="B53" s="7"/>
      <c r="AD53" s="16"/>
    </row>
    <row r="54" spans="2:30" s="4" customFormat="1" x14ac:dyDescent="0.2">
      <c r="B54" s="7"/>
      <c r="AD54" s="16"/>
    </row>
    <row r="55" spans="2:30" s="4" customFormat="1" x14ac:dyDescent="0.2">
      <c r="B55" s="7"/>
      <c r="AD55" s="16"/>
    </row>
    <row r="56" spans="2:30" s="4" customFormat="1" x14ac:dyDescent="0.2">
      <c r="B56" s="7"/>
      <c r="C56" s="10"/>
      <c r="AD56" s="16"/>
    </row>
    <row r="57" spans="2:30" s="4" customFormat="1" ht="15.75" x14ac:dyDescent="0.25">
      <c r="B57" s="7"/>
      <c r="C57" s="10"/>
      <c r="P57" s="3"/>
      <c r="AD57" s="16"/>
    </row>
    <row r="58" spans="2:30" s="4" customFormat="1" ht="15.75" x14ac:dyDescent="0.25">
      <c r="B58" s="7"/>
      <c r="H58" s="10"/>
      <c r="P58" s="3"/>
      <c r="AD58" s="16"/>
    </row>
    <row r="59" spans="2:30" s="4" customFormat="1" ht="15.75" x14ac:dyDescent="0.25">
      <c r="B59" s="7"/>
      <c r="P59" s="3"/>
      <c r="AD59" s="16"/>
    </row>
    <row r="60" spans="2:30" s="4" customFormat="1" ht="15.75" x14ac:dyDescent="0.25">
      <c r="B60" s="7"/>
      <c r="P60" s="3"/>
      <c r="AD60" s="16"/>
    </row>
    <row r="61" spans="2:30" s="4" customFormat="1" ht="15.75" x14ac:dyDescent="0.25">
      <c r="B61" s="7"/>
      <c r="P61" s="3"/>
      <c r="AD61" s="16"/>
    </row>
    <row r="62" spans="2:30" s="4" customFormat="1" ht="15.75" x14ac:dyDescent="0.25">
      <c r="B62" s="7"/>
      <c r="P62" s="3"/>
      <c r="AD62" s="16"/>
    </row>
    <row r="63" spans="2:30" s="4" customFormat="1" ht="15.75" x14ac:dyDescent="0.25">
      <c r="B63" s="7"/>
      <c r="C63" s="10"/>
      <c r="L63" s="10"/>
      <c r="P63" s="3"/>
      <c r="AD63" s="16"/>
    </row>
    <row r="64" spans="2:30" s="4" customFormat="1" ht="15.75" x14ac:dyDescent="0.25">
      <c r="B64" s="7"/>
      <c r="P64" s="3"/>
      <c r="AD64" s="16"/>
    </row>
    <row r="65" spans="2:30" s="4" customFormat="1" ht="15.75" x14ac:dyDescent="0.25">
      <c r="B65" s="7"/>
      <c r="P65" s="3"/>
      <c r="AD65" s="16"/>
    </row>
    <row r="66" spans="2:30" s="4" customFormat="1" ht="15.75" x14ac:dyDescent="0.25">
      <c r="B66" s="7"/>
      <c r="P66" s="3"/>
      <c r="AD66" s="16"/>
    </row>
    <row r="67" spans="2:30" s="4" customFormat="1" ht="15.75" x14ac:dyDescent="0.25">
      <c r="B67" s="7"/>
      <c r="P67" s="3"/>
      <c r="AD67" s="16"/>
    </row>
    <row r="68" spans="2:30" s="4" customFormat="1" x14ac:dyDescent="0.2">
      <c r="B68" s="7"/>
      <c r="AD68" s="16"/>
    </row>
    <row r="69" spans="2:30" s="4" customFormat="1" x14ac:dyDescent="0.2">
      <c r="B69" s="7"/>
      <c r="AD69" s="16"/>
    </row>
    <row r="70" spans="2:30" s="4" customFormat="1" x14ac:dyDescent="0.2">
      <c r="B70" s="7"/>
      <c r="AD70" s="16"/>
    </row>
    <row r="71" spans="2:30" s="4" customFormat="1" x14ac:dyDescent="0.2">
      <c r="B71" s="7"/>
      <c r="AD71" s="16"/>
    </row>
    <row r="72" spans="2:30" s="4" customFormat="1" x14ac:dyDescent="0.2">
      <c r="B72" s="7"/>
      <c r="AD72" s="16"/>
    </row>
    <row r="73" spans="2:30" s="4" customFormat="1" x14ac:dyDescent="0.2">
      <c r="B73" s="7"/>
      <c r="AD73" s="16"/>
    </row>
    <row r="74" spans="2:30" s="4" customFormat="1" x14ac:dyDescent="0.2">
      <c r="B74" s="7"/>
      <c r="AD74" s="16"/>
    </row>
    <row r="75" spans="2:30" s="4" customFormat="1" x14ac:dyDescent="0.2">
      <c r="B75" s="7"/>
      <c r="AD75" s="16"/>
    </row>
    <row r="76" spans="2:30" s="4" customFormat="1" x14ac:dyDescent="0.2">
      <c r="B76" s="7"/>
      <c r="AD76" s="16"/>
    </row>
    <row r="77" spans="2:30" s="4" customFormat="1" x14ac:dyDescent="0.2">
      <c r="B77" s="11"/>
      <c r="AD77" s="16"/>
    </row>
    <row r="78" spans="2:30" s="4" customFormat="1" x14ac:dyDescent="0.2">
      <c r="B78" s="11"/>
      <c r="AD78" s="16"/>
    </row>
    <row r="79" spans="2:30" s="3" customFormat="1" ht="15.75" x14ac:dyDescent="0.25">
      <c r="B79" s="12"/>
      <c r="AD79" s="16"/>
    </row>
    <row r="80" spans="2:30" s="4" customFormat="1" x14ac:dyDescent="0.2">
      <c r="B80" s="7"/>
      <c r="AD80" s="16"/>
    </row>
    <row r="81" spans="2:30" s="4" customFormat="1" ht="15.75" x14ac:dyDescent="0.25">
      <c r="B81" s="9"/>
      <c r="AD81" s="16"/>
    </row>
    <row r="82" spans="2:30" s="4" customFormat="1" x14ac:dyDescent="0.2">
      <c r="B82" s="7"/>
      <c r="AD82" s="16"/>
    </row>
    <row r="83" spans="2:30" s="4" customFormat="1" x14ac:dyDescent="0.2">
      <c r="B83" s="7"/>
      <c r="AD83" s="16"/>
    </row>
    <row r="84" spans="2:30" s="4" customFormat="1" x14ac:dyDescent="0.2">
      <c r="B84" s="7"/>
      <c r="AD84" s="16"/>
    </row>
    <row r="85" spans="2:30" s="4" customFormat="1" x14ac:dyDescent="0.2">
      <c r="B85" s="7"/>
      <c r="AD85" s="16"/>
    </row>
    <row r="86" spans="2:30" s="4" customFormat="1" x14ac:dyDescent="0.2">
      <c r="B86" s="7"/>
      <c r="AD86" s="16"/>
    </row>
    <row r="87" spans="2:30" s="4" customFormat="1" x14ac:dyDescent="0.2">
      <c r="B87" s="7"/>
      <c r="AD87" s="16"/>
    </row>
    <row r="88" spans="2:30" s="4" customFormat="1" x14ac:dyDescent="0.2">
      <c r="B88" s="7"/>
      <c r="AD88" s="16"/>
    </row>
    <row r="89" spans="2:30" s="4" customFormat="1" x14ac:dyDescent="0.2">
      <c r="B89" s="7"/>
      <c r="AD89" s="16"/>
    </row>
    <row r="90" spans="2:30" s="4" customFormat="1" x14ac:dyDescent="0.2">
      <c r="B90" s="7"/>
      <c r="AD90" s="16"/>
    </row>
    <row r="91" spans="2:30" s="4" customFormat="1" x14ac:dyDescent="0.2">
      <c r="B91" s="7"/>
      <c r="AD91" s="16"/>
    </row>
    <row r="92" spans="2:30" s="4" customFormat="1" x14ac:dyDescent="0.2">
      <c r="B92" s="7"/>
      <c r="AD92" s="16"/>
    </row>
    <row r="93" spans="2:30" s="4" customFormat="1" x14ac:dyDescent="0.2">
      <c r="B93" s="7"/>
      <c r="AD93" s="16"/>
    </row>
    <row r="94" spans="2:30" s="4" customFormat="1" x14ac:dyDescent="0.2">
      <c r="B94" s="7"/>
      <c r="AD94" s="16"/>
    </row>
    <row r="95" spans="2:30" s="4" customFormat="1" x14ac:dyDescent="0.2">
      <c r="B95" s="7"/>
      <c r="AD95" s="16"/>
    </row>
    <row r="96" spans="2:30" s="4" customFormat="1" x14ac:dyDescent="0.2">
      <c r="B96" s="7"/>
      <c r="AD96" s="16"/>
    </row>
    <row r="97" spans="2:30" s="4" customFormat="1" x14ac:dyDescent="0.2">
      <c r="B97" s="7"/>
      <c r="AD97" s="16"/>
    </row>
    <row r="98" spans="2:30" s="4" customFormat="1" x14ac:dyDescent="0.2">
      <c r="B98" s="7"/>
      <c r="AD98" s="16"/>
    </row>
    <row r="99" spans="2:30" s="4" customFormat="1" x14ac:dyDescent="0.2">
      <c r="B99" s="7"/>
      <c r="AD99" s="16"/>
    </row>
    <row r="100" spans="2:30" s="4" customFormat="1" x14ac:dyDescent="0.2">
      <c r="B100" s="7"/>
      <c r="AD100" s="16"/>
    </row>
    <row r="101" spans="2:30" s="4" customFormat="1" x14ac:dyDescent="0.2">
      <c r="B101" s="7"/>
      <c r="AD101" s="16"/>
    </row>
    <row r="102" spans="2:30" s="4" customFormat="1" x14ac:dyDescent="0.2">
      <c r="B102" s="7"/>
      <c r="AD102" s="16"/>
    </row>
    <row r="103" spans="2:30" s="4" customFormat="1" x14ac:dyDescent="0.2">
      <c r="B103" s="7"/>
      <c r="AD103" s="16"/>
    </row>
    <row r="104" spans="2:30" s="4" customFormat="1" x14ac:dyDescent="0.2">
      <c r="B104" s="7"/>
      <c r="AD104" s="16"/>
    </row>
    <row r="105" spans="2:30" s="4" customFormat="1" x14ac:dyDescent="0.2">
      <c r="B105" s="7"/>
      <c r="AD105" s="16"/>
    </row>
    <row r="106" spans="2:30" s="4" customFormat="1" x14ac:dyDescent="0.2">
      <c r="B106" s="7"/>
      <c r="AD106" s="16"/>
    </row>
    <row r="107" spans="2:30" s="4" customFormat="1" x14ac:dyDescent="0.2">
      <c r="B107" s="7"/>
      <c r="AD107" s="16"/>
    </row>
    <row r="108" spans="2:30" s="4" customFormat="1" x14ac:dyDescent="0.2">
      <c r="B108" s="7"/>
      <c r="AD108" s="16"/>
    </row>
    <row r="109" spans="2:30" s="4" customFormat="1" x14ac:dyDescent="0.2">
      <c r="B109" s="7"/>
      <c r="AD109" s="16"/>
    </row>
    <row r="110" spans="2:30" s="4" customFormat="1" x14ac:dyDescent="0.2">
      <c r="B110" s="7"/>
      <c r="AD110" s="16"/>
    </row>
    <row r="111" spans="2:30" s="4" customFormat="1" x14ac:dyDescent="0.2">
      <c r="B111" s="7"/>
      <c r="AD111" s="16"/>
    </row>
    <row r="112" spans="2:30" s="4" customFormat="1" x14ac:dyDescent="0.2">
      <c r="B112" s="7"/>
      <c r="AD112" s="16"/>
    </row>
    <row r="113" spans="2:30" s="4" customFormat="1" ht="15.75" x14ac:dyDescent="0.25">
      <c r="B113" s="12"/>
      <c r="C113" s="3"/>
      <c r="D113" s="3"/>
      <c r="E113" s="3"/>
      <c r="F113" s="3"/>
      <c r="G113" s="3"/>
      <c r="H113" s="3"/>
      <c r="I113" s="3"/>
      <c r="J113" s="3"/>
      <c r="K113" s="3"/>
      <c r="L113" s="3"/>
      <c r="M113" s="3"/>
      <c r="AD113" s="16"/>
    </row>
    <row r="114" spans="2:30" x14ac:dyDescent="0.2">
      <c r="B114" s="5"/>
    </row>
    <row r="115" spans="2:30" x14ac:dyDescent="0.2">
      <c r="B115" s="5"/>
    </row>
    <row r="116" spans="2:30" x14ac:dyDescent="0.2">
      <c r="B116" s="5"/>
    </row>
    <row r="117" spans="2:30" x14ac:dyDescent="0.2">
      <c r="B117" s="5"/>
    </row>
    <row r="118" spans="2:30" x14ac:dyDescent="0.2">
      <c r="B118" s="5"/>
    </row>
    <row r="119" spans="2:30" x14ac:dyDescent="0.2">
      <c r="B119" s="5"/>
    </row>
    <row r="120" spans="2:30" x14ac:dyDescent="0.2">
      <c r="B120" s="5"/>
    </row>
    <row r="121" spans="2:30" x14ac:dyDescent="0.2">
      <c r="B121" s="5"/>
    </row>
    <row r="122" spans="2:30" x14ac:dyDescent="0.2">
      <c r="B122" s="5"/>
    </row>
    <row r="123" spans="2:30" x14ac:dyDescent="0.2">
      <c r="B123" s="5"/>
    </row>
    <row r="124" spans="2:30" x14ac:dyDescent="0.2">
      <c r="B124" s="5"/>
    </row>
    <row r="125" spans="2:30" x14ac:dyDescent="0.2">
      <c r="B125" s="5"/>
    </row>
    <row r="126" spans="2:30" x14ac:dyDescent="0.2">
      <c r="B126" s="5"/>
    </row>
    <row r="127" spans="2:30" x14ac:dyDescent="0.2">
      <c r="B127" s="5"/>
    </row>
    <row r="128" spans="2:30"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08325-EA67-4684-AB87-FDB15584BA11}">
  <dimension ref="A1:AJ190"/>
  <sheetViews>
    <sheetView workbookViewId="0">
      <pane xSplit="1" ySplit="1" topLeftCell="B2"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10</v>
      </c>
      <c r="B1" s="14" t="s">
        <v>83</v>
      </c>
      <c r="C1" s="14" t="s">
        <v>84</v>
      </c>
      <c r="D1" s="14" t="s">
        <v>85</v>
      </c>
      <c r="E1" s="14" t="s">
        <v>86</v>
      </c>
      <c r="F1" s="14" t="s">
        <v>87</v>
      </c>
      <c r="G1" s="14" t="s">
        <v>88</v>
      </c>
      <c r="H1" s="14" t="s">
        <v>89</v>
      </c>
      <c r="I1" s="14" t="s">
        <v>90</v>
      </c>
      <c r="J1" s="14" t="s">
        <v>91</v>
      </c>
      <c r="K1" s="14" t="s">
        <v>92</v>
      </c>
      <c r="L1" s="14" t="s">
        <v>93</v>
      </c>
      <c r="M1" s="14" t="s">
        <v>94</v>
      </c>
      <c r="N1" s="14" t="s">
        <v>95</v>
      </c>
      <c r="O1" s="14" t="s">
        <v>96</v>
      </c>
      <c r="P1" s="14" t="s">
        <v>97</v>
      </c>
      <c r="Q1" s="14" t="s">
        <v>98</v>
      </c>
      <c r="R1" s="14" t="s">
        <v>99</v>
      </c>
      <c r="S1" s="14" t="s">
        <v>100</v>
      </c>
      <c r="T1" s="14" t="s">
        <v>101</v>
      </c>
      <c r="U1" s="14" t="s">
        <v>102</v>
      </c>
      <c r="V1" s="14" t="s">
        <v>103</v>
      </c>
      <c r="W1" s="14" t="s">
        <v>104</v>
      </c>
      <c r="X1" s="14" t="s">
        <v>105</v>
      </c>
      <c r="Y1" s="14" t="s">
        <v>106</v>
      </c>
      <c r="Z1" s="14" t="s">
        <v>107</v>
      </c>
      <c r="AA1" s="14" t="s">
        <v>108</v>
      </c>
      <c r="AB1" s="14" t="s">
        <v>109</v>
      </c>
      <c r="AC1" s="14" t="s">
        <v>110</v>
      </c>
      <c r="AD1" s="14" t="s">
        <v>111</v>
      </c>
      <c r="AE1" s="14" t="s">
        <v>112</v>
      </c>
      <c r="AF1" s="15" t="s">
        <v>113</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8851B-0F47-4EE3-A117-657BE1034BCC}">
  <dimension ref="A1:AI190"/>
  <sheetViews>
    <sheetView workbookViewId="0">
      <pane xSplit="1" ySplit="1" topLeftCell="T26"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11</v>
      </c>
      <c r="B1" s="14" t="s">
        <v>114</v>
      </c>
      <c r="C1" s="14" t="s">
        <v>115</v>
      </c>
      <c r="D1" s="14" t="s">
        <v>116</v>
      </c>
      <c r="E1" s="14" t="s">
        <v>117</v>
      </c>
      <c r="F1" s="14" t="s">
        <v>118</v>
      </c>
      <c r="G1" s="14" t="s">
        <v>119</v>
      </c>
      <c r="H1" s="14" t="s">
        <v>120</v>
      </c>
      <c r="I1" s="14" t="s">
        <v>121</v>
      </c>
      <c r="J1" s="14" t="s">
        <v>122</v>
      </c>
      <c r="K1" s="14" t="s">
        <v>123</v>
      </c>
      <c r="L1" s="14" t="s">
        <v>124</v>
      </c>
      <c r="M1" s="14" t="s">
        <v>125</v>
      </c>
      <c r="N1" s="14" t="s">
        <v>126</v>
      </c>
      <c r="O1" s="14" t="s">
        <v>127</v>
      </c>
      <c r="P1" s="14" t="s">
        <v>128</v>
      </c>
      <c r="Q1" s="14" t="s">
        <v>129</v>
      </c>
      <c r="R1" s="14" t="s">
        <v>130</v>
      </c>
      <c r="S1" s="14" t="s">
        <v>131</v>
      </c>
      <c r="T1" s="14" t="s">
        <v>132</v>
      </c>
      <c r="U1" s="14" t="s">
        <v>133</v>
      </c>
      <c r="V1" s="14" t="s">
        <v>134</v>
      </c>
      <c r="W1" s="14" t="s">
        <v>135</v>
      </c>
      <c r="X1" s="14" t="s">
        <v>136</v>
      </c>
      <c r="Y1" s="14" t="s">
        <v>137</v>
      </c>
      <c r="Z1" s="14" t="s">
        <v>138</v>
      </c>
      <c r="AA1" s="14" t="s">
        <v>139</v>
      </c>
      <c r="AB1" s="14" t="s">
        <v>140</v>
      </c>
      <c r="AC1" s="14" t="s">
        <v>141</v>
      </c>
      <c r="AD1" s="14" t="s">
        <v>142</v>
      </c>
      <c r="AE1" s="15" t="s">
        <v>54</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EC167-FFFE-4D72-932A-CB3B923165E3}">
  <dimension ref="A1:AJ190"/>
  <sheetViews>
    <sheetView workbookViewId="0">
      <pane xSplit="1" ySplit="1" topLeftCell="B2" activePane="bottomRight" state="frozen"/>
      <selection pane="topRight" activeCell="B1" sqref="B1"/>
      <selection pane="bottomLeft" activeCell="A2" sqref="A2"/>
      <selection pane="bottomRight" activeCell="AE26" sqref="AE26"/>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13</v>
      </c>
      <c r="B1" s="14" t="s">
        <v>144</v>
      </c>
      <c r="C1" s="14" t="s">
        <v>145</v>
      </c>
      <c r="D1" s="14" t="s">
        <v>146</v>
      </c>
      <c r="E1" s="14" t="s">
        <v>147</v>
      </c>
      <c r="F1" s="14" t="s">
        <v>148</v>
      </c>
      <c r="G1" s="14" t="s">
        <v>149</v>
      </c>
      <c r="H1" s="14" t="s">
        <v>143</v>
      </c>
      <c r="I1" s="14" t="s">
        <v>150</v>
      </c>
      <c r="J1" s="14" t="s">
        <v>151</v>
      </c>
      <c r="K1" s="14" t="s">
        <v>152</v>
      </c>
      <c r="L1" s="14" t="s">
        <v>153</v>
      </c>
      <c r="M1" s="14" t="s">
        <v>154</v>
      </c>
      <c r="N1" s="14" t="s">
        <v>155</v>
      </c>
      <c r="O1" s="14" t="s">
        <v>156</v>
      </c>
      <c r="P1" s="14" t="s">
        <v>157</v>
      </c>
      <c r="Q1" s="14" t="s">
        <v>158</v>
      </c>
      <c r="R1" s="14" t="s">
        <v>159</v>
      </c>
      <c r="S1" s="14" t="s">
        <v>160</v>
      </c>
      <c r="T1" s="14" t="s">
        <v>161</v>
      </c>
      <c r="U1" s="14" t="s">
        <v>162</v>
      </c>
      <c r="V1" s="14" t="s">
        <v>163</v>
      </c>
      <c r="W1" s="14" t="s">
        <v>164</v>
      </c>
      <c r="X1" s="14" t="s">
        <v>165</v>
      </c>
      <c r="Y1" s="14" t="s">
        <v>166</v>
      </c>
      <c r="Z1" s="14" t="s">
        <v>168</v>
      </c>
      <c r="AA1" s="14" t="s">
        <v>167</v>
      </c>
      <c r="AB1" s="14" t="s">
        <v>169</v>
      </c>
      <c r="AC1" s="14" t="s">
        <v>170</v>
      </c>
      <c r="AD1" s="14" t="s">
        <v>171</v>
      </c>
      <c r="AE1" s="14" t="s">
        <v>172</v>
      </c>
      <c r="AF1" s="15" t="s">
        <v>173</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E516-0E9E-4231-9C42-6E5BBCF2331D}">
  <dimension ref="A1:AI190"/>
  <sheetViews>
    <sheetView workbookViewId="0">
      <pane xSplit="1" ySplit="1" topLeftCell="V24" activePane="bottomRight" state="frozen"/>
      <selection pane="topRight" activeCell="B1" sqref="B1"/>
      <selection pane="bottomLeft" activeCell="A2" sqref="A2"/>
      <selection pane="bottomRight" activeCell="A41" sqref="A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14</v>
      </c>
      <c r="B1" s="14" t="s">
        <v>176</v>
      </c>
      <c r="C1" s="14" t="s">
        <v>177</v>
      </c>
      <c r="D1" s="14" t="s">
        <v>178</v>
      </c>
      <c r="E1" s="14" t="s">
        <v>179</v>
      </c>
      <c r="F1" s="14" t="s">
        <v>180</v>
      </c>
      <c r="G1" s="14" t="s">
        <v>181</v>
      </c>
      <c r="H1" s="14" t="s">
        <v>182</v>
      </c>
      <c r="I1" s="14" t="s">
        <v>183</v>
      </c>
      <c r="J1" s="14" t="s">
        <v>184</v>
      </c>
      <c r="K1" s="14" t="s">
        <v>185</v>
      </c>
      <c r="L1" s="14" t="s">
        <v>186</v>
      </c>
      <c r="M1" s="14" t="s">
        <v>187</v>
      </c>
      <c r="N1" s="14" t="s">
        <v>188</v>
      </c>
      <c r="O1" s="14" t="s">
        <v>189</v>
      </c>
      <c r="P1" s="14" t="s">
        <v>190</v>
      </c>
      <c r="Q1" s="14" t="s">
        <v>193</v>
      </c>
      <c r="R1" s="14" t="s">
        <v>191</v>
      </c>
      <c r="S1" s="14" t="s">
        <v>192</v>
      </c>
      <c r="T1" s="14" t="s">
        <v>194</v>
      </c>
      <c r="U1" s="14" t="s">
        <v>195</v>
      </c>
      <c r="V1" s="14" t="s">
        <v>196</v>
      </c>
      <c r="W1" s="14" t="s">
        <v>197</v>
      </c>
      <c r="X1" s="14" t="s">
        <v>198</v>
      </c>
      <c r="Y1" s="14" t="s">
        <v>199</v>
      </c>
      <c r="Z1" s="14" t="s">
        <v>200</v>
      </c>
      <c r="AA1" s="14" t="s">
        <v>201</v>
      </c>
      <c r="AB1" s="14" t="s">
        <v>202</v>
      </c>
      <c r="AC1" s="14" t="s">
        <v>203</v>
      </c>
      <c r="AD1" s="14" t="s">
        <v>174</v>
      </c>
      <c r="AE1" s="15" t="s">
        <v>175</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C575B-4E53-438F-B317-B4BBCC036E80}">
  <dimension ref="A1:AJ190"/>
  <sheetViews>
    <sheetView workbookViewId="0">
      <pane xSplit="1" ySplit="1" topLeftCell="U24"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15</v>
      </c>
      <c r="B1" s="14" t="s">
        <v>222</v>
      </c>
      <c r="C1" s="14" t="s">
        <v>223</v>
      </c>
      <c r="D1" s="14" t="s">
        <v>224</v>
      </c>
      <c r="E1" s="14" t="s">
        <v>225</v>
      </c>
      <c r="F1" s="14" t="s">
        <v>226</v>
      </c>
      <c r="G1" s="14" t="s">
        <v>227</v>
      </c>
      <c r="H1" s="14" t="s">
        <v>228</v>
      </c>
      <c r="I1" s="14" t="s">
        <v>229</v>
      </c>
      <c r="J1" s="14" t="s">
        <v>230</v>
      </c>
      <c r="K1" s="14" t="s">
        <v>231</v>
      </c>
      <c r="L1" s="14" t="s">
        <v>204</v>
      </c>
      <c r="M1" s="14" t="s">
        <v>205</v>
      </c>
      <c r="N1" s="14" t="s">
        <v>206</v>
      </c>
      <c r="O1" s="14" t="s">
        <v>207</v>
      </c>
      <c r="P1" s="14" t="s">
        <v>208</v>
      </c>
      <c r="Q1" s="14" t="s">
        <v>209</v>
      </c>
      <c r="R1" s="14" t="s">
        <v>210</v>
      </c>
      <c r="S1" s="14" t="s">
        <v>211</v>
      </c>
      <c r="T1" s="14" t="s">
        <v>212</v>
      </c>
      <c r="U1" s="14" t="s">
        <v>213</v>
      </c>
      <c r="V1" s="14" t="s">
        <v>214</v>
      </c>
      <c r="W1" s="14" t="s">
        <v>215</v>
      </c>
      <c r="X1" s="14" t="s">
        <v>216</v>
      </c>
      <c r="Y1" s="14" t="s">
        <v>217</v>
      </c>
      <c r="Z1" s="14" t="s">
        <v>218</v>
      </c>
      <c r="AA1" s="14" t="s">
        <v>219</v>
      </c>
      <c r="AB1" s="14" t="s">
        <v>220</v>
      </c>
      <c r="AC1" s="14" t="s">
        <v>221</v>
      </c>
      <c r="AD1" s="14" t="s">
        <v>232</v>
      </c>
      <c r="AE1" s="14" t="s">
        <v>233</v>
      </c>
      <c r="AF1" s="21" t="s">
        <v>234</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020D-88BD-4B13-BFA5-D686C9037A9E}">
  <dimension ref="A1:AJ190"/>
  <sheetViews>
    <sheetView workbookViewId="0">
      <pane xSplit="1" ySplit="1" topLeftCell="U2"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16</v>
      </c>
      <c r="B1" s="14" t="s">
        <v>238</v>
      </c>
      <c r="C1" s="14" t="s">
        <v>239</v>
      </c>
      <c r="D1" s="14" t="s">
        <v>240</v>
      </c>
      <c r="E1" s="14" t="s">
        <v>241</v>
      </c>
      <c r="F1" s="14" t="s">
        <v>242</v>
      </c>
      <c r="G1" s="14" t="s">
        <v>243</v>
      </c>
      <c r="H1" s="14" t="s">
        <v>244</v>
      </c>
      <c r="I1" s="14" t="s">
        <v>245</v>
      </c>
      <c r="J1" s="14" t="s">
        <v>246</v>
      </c>
      <c r="K1" s="14" t="s">
        <v>247</v>
      </c>
      <c r="L1" s="14" t="s">
        <v>248</v>
      </c>
      <c r="M1" s="14" t="s">
        <v>249</v>
      </c>
      <c r="N1" s="14" t="s">
        <v>250</v>
      </c>
      <c r="O1" s="14" t="s">
        <v>251</v>
      </c>
      <c r="P1" s="14" t="s">
        <v>252</v>
      </c>
      <c r="Q1" s="14" t="s">
        <v>253</v>
      </c>
      <c r="R1" s="14" t="s">
        <v>254</v>
      </c>
      <c r="S1" s="14" t="s">
        <v>255</v>
      </c>
      <c r="T1" s="14" t="s">
        <v>256</v>
      </c>
      <c r="U1" s="14" t="s">
        <v>257</v>
      </c>
      <c r="V1" s="14" t="s">
        <v>258</v>
      </c>
      <c r="W1" s="14" t="s">
        <v>259</v>
      </c>
      <c r="X1" s="14" t="s">
        <v>260</v>
      </c>
      <c r="Y1" s="14" t="s">
        <v>261</v>
      </c>
      <c r="Z1" s="14" t="s">
        <v>262</v>
      </c>
      <c r="AA1" s="14" t="s">
        <v>263</v>
      </c>
      <c r="AB1" s="14" t="s">
        <v>264</v>
      </c>
      <c r="AC1" s="14" t="s">
        <v>265</v>
      </c>
      <c r="AD1" s="14" t="s">
        <v>235</v>
      </c>
      <c r="AE1" s="14" t="s">
        <v>236</v>
      </c>
      <c r="AF1" s="15" t="s">
        <v>237</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80F8-255D-4CF1-9AE1-03706C35CFE0}">
  <dimension ref="A1:AI190"/>
  <sheetViews>
    <sheetView workbookViewId="0">
      <pane xSplit="1" ySplit="1" topLeftCell="T20"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17</v>
      </c>
      <c r="B1" s="14" t="s">
        <v>295</v>
      </c>
      <c r="C1" s="14" t="s">
        <v>269</v>
      </c>
      <c r="D1" s="14" t="s">
        <v>270</v>
      </c>
      <c r="E1" s="14" t="s">
        <v>271</v>
      </c>
      <c r="F1" s="14" t="s">
        <v>272</v>
      </c>
      <c r="G1" s="14" t="s">
        <v>273</v>
      </c>
      <c r="H1" s="14" t="s">
        <v>274</v>
      </c>
      <c r="I1" s="14" t="s">
        <v>275</v>
      </c>
      <c r="J1" s="14" t="s">
        <v>268</v>
      </c>
      <c r="K1" s="14" t="s">
        <v>276</v>
      </c>
      <c r="L1" s="14" t="s">
        <v>277</v>
      </c>
      <c r="M1" s="14" t="s">
        <v>278</v>
      </c>
      <c r="N1" s="14" t="s">
        <v>279</v>
      </c>
      <c r="O1" s="14" t="s">
        <v>280</v>
      </c>
      <c r="P1" s="14" t="s">
        <v>281</v>
      </c>
      <c r="Q1" s="14" t="s">
        <v>282</v>
      </c>
      <c r="R1" s="14" t="s">
        <v>283</v>
      </c>
      <c r="S1" s="14" t="s">
        <v>284</v>
      </c>
      <c r="T1" s="14" t="s">
        <v>285</v>
      </c>
      <c r="U1" s="14" t="s">
        <v>286</v>
      </c>
      <c r="V1" s="14" t="s">
        <v>287</v>
      </c>
      <c r="W1" s="14" t="s">
        <v>288</v>
      </c>
      <c r="X1" s="14" t="s">
        <v>289</v>
      </c>
      <c r="Y1" s="14" t="s">
        <v>290</v>
      </c>
      <c r="Z1" s="14" t="s">
        <v>291</v>
      </c>
      <c r="AA1" s="14" t="s">
        <v>292</v>
      </c>
      <c r="AB1" s="14" t="s">
        <v>293</v>
      </c>
      <c r="AC1" s="14" t="s">
        <v>294</v>
      </c>
      <c r="AD1" s="14" t="s">
        <v>266</v>
      </c>
      <c r="AE1" s="15" t="s">
        <v>267</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9489-116A-4F06-B543-3B866A78F47F}">
  <dimension ref="A1:AJ190"/>
  <sheetViews>
    <sheetView workbookViewId="0">
      <pane xSplit="1" ySplit="1" topLeftCell="U31"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6</v>
      </c>
      <c r="B1" s="14" t="s">
        <v>296</v>
      </c>
      <c r="C1" s="14" t="s">
        <v>297</v>
      </c>
      <c r="D1" s="14" t="s">
        <v>298</v>
      </c>
      <c r="E1" s="14" t="s">
        <v>299</v>
      </c>
      <c r="F1" s="14" t="s">
        <v>300</v>
      </c>
      <c r="G1" s="14" t="s">
        <v>301</v>
      </c>
      <c r="H1" s="14" t="s">
        <v>302</v>
      </c>
      <c r="I1" s="14" t="s">
        <v>303</v>
      </c>
      <c r="J1" s="14" t="s">
        <v>304</v>
      </c>
      <c r="K1" s="14" t="s">
        <v>305</v>
      </c>
      <c r="L1" s="14" t="s">
        <v>306</v>
      </c>
      <c r="M1" s="14" t="s">
        <v>307</v>
      </c>
      <c r="N1" s="14" t="s">
        <v>308</v>
      </c>
      <c r="O1" s="14" t="s">
        <v>309</v>
      </c>
      <c r="P1" s="14" t="s">
        <v>310</v>
      </c>
      <c r="Q1" s="14" t="s">
        <v>311</v>
      </c>
      <c r="R1" s="14" t="s">
        <v>312</v>
      </c>
      <c r="S1" s="14" t="s">
        <v>313</v>
      </c>
      <c r="T1" s="14" t="s">
        <v>314</v>
      </c>
      <c r="U1" s="14" t="s">
        <v>315</v>
      </c>
      <c r="V1" s="14" t="s">
        <v>316</v>
      </c>
      <c r="W1" s="14" t="s">
        <v>317</v>
      </c>
      <c r="X1" s="14" t="s">
        <v>318</v>
      </c>
      <c r="Y1" s="14" t="s">
        <v>319</v>
      </c>
      <c r="Z1" s="14" t="s">
        <v>320</v>
      </c>
      <c r="AA1" s="14" t="s">
        <v>321</v>
      </c>
      <c r="AB1" s="14" t="s">
        <v>322</v>
      </c>
      <c r="AC1" s="14" t="s">
        <v>323</v>
      </c>
      <c r="AD1" s="14" t="s">
        <v>324</v>
      </c>
      <c r="AE1" s="14" t="s">
        <v>325</v>
      </c>
      <c r="AF1" s="15" t="s">
        <v>326</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SUM(AB2:AB44)</f>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5D878-5918-4036-BF76-36490C9331A6}">
  <dimension ref="A1:AI190"/>
  <sheetViews>
    <sheetView workbookViewId="0">
      <pane xSplit="1" ySplit="1" topLeftCell="T23"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7</v>
      </c>
      <c r="B1" s="14" t="s">
        <v>356</v>
      </c>
      <c r="C1" s="14" t="s">
        <v>330</v>
      </c>
      <c r="D1" s="14" t="s">
        <v>331</v>
      </c>
      <c r="E1" s="14" t="s">
        <v>332</v>
      </c>
      <c r="F1" s="14" t="s">
        <v>333</v>
      </c>
      <c r="G1" s="14" t="s">
        <v>334</v>
      </c>
      <c r="H1" s="14" t="s">
        <v>335</v>
      </c>
      <c r="I1" s="14" t="s">
        <v>336</v>
      </c>
      <c r="J1" s="14" t="s">
        <v>337</v>
      </c>
      <c r="K1" s="14" t="s">
        <v>338</v>
      </c>
      <c r="L1" s="14" t="s">
        <v>329</v>
      </c>
      <c r="M1" s="14" t="s">
        <v>339</v>
      </c>
      <c r="N1" s="14" t="s">
        <v>340</v>
      </c>
      <c r="O1" s="14" t="s">
        <v>341</v>
      </c>
      <c r="P1" s="14" t="s">
        <v>342</v>
      </c>
      <c r="Q1" s="14" t="s">
        <v>343</v>
      </c>
      <c r="R1" s="14" t="s">
        <v>344</v>
      </c>
      <c r="S1" s="14" t="s">
        <v>345</v>
      </c>
      <c r="T1" s="14" t="s">
        <v>346</v>
      </c>
      <c r="U1" s="14" t="s">
        <v>347</v>
      </c>
      <c r="V1" s="14" t="s">
        <v>348</v>
      </c>
      <c r="W1" s="14" t="s">
        <v>349</v>
      </c>
      <c r="X1" s="14" t="s">
        <v>350</v>
      </c>
      <c r="Y1" s="14" t="s">
        <v>351</v>
      </c>
      <c r="Z1" s="14" t="s">
        <v>352</v>
      </c>
      <c r="AA1" s="14" t="s">
        <v>353</v>
      </c>
      <c r="AB1" s="14" t="s">
        <v>354</v>
      </c>
      <c r="AC1" s="14" t="s">
        <v>355</v>
      </c>
      <c r="AD1" s="14" t="s">
        <v>327</v>
      </c>
      <c r="AE1" s="15" t="s">
        <v>328</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410C4-BF72-4F55-A39C-D4303610D0DD}">
  <dimension ref="A1:AJ190"/>
  <sheetViews>
    <sheetView workbookViewId="0">
      <pane xSplit="1" ySplit="1" topLeftCell="B2" activePane="bottomRight" state="frozen"/>
      <selection pane="topRight" activeCell="B1" sqref="B1"/>
      <selection pane="bottomLeft" activeCell="A2" sqref="A2"/>
      <selection pane="bottomRight" activeCell="AC41" sqref="AC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8</v>
      </c>
      <c r="B1" s="14" t="s">
        <v>360</v>
      </c>
      <c r="C1" s="14" t="s">
        <v>361</v>
      </c>
      <c r="D1" s="14" t="s">
        <v>362</v>
      </c>
      <c r="E1" s="14" t="s">
        <v>363</v>
      </c>
      <c r="F1" s="14" t="s">
        <v>364</v>
      </c>
      <c r="G1" s="14" t="s">
        <v>365</v>
      </c>
      <c r="H1" s="14" t="s">
        <v>366</v>
      </c>
      <c r="I1" s="14" t="s">
        <v>367</v>
      </c>
      <c r="J1" s="14" t="s">
        <v>368</v>
      </c>
      <c r="K1" s="14" t="s">
        <v>369</v>
      </c>
      <c r="L1" s="14" t="s">
        <v>370</v>
      </c>
      <c r="M1" s="14" t="s">
        <v>371</v>
      </c>
      <c r="N1" s="14" t="s">
        <v>372</v>
      </c>
      <c r="O1" s="14" t="s">
        <v>373</v>
      </c>
      <c r="P1" s="14" t="s">
        <v>374</v>
      </c>
      <c r="Q1" s="14" t="s">
        <v>375</v>
      </c>
      <c r="R1" s="14" t="s">
        <v>376</v>
      </c>
      <c r="S1" s="14" t="s">
        <v>377</v>
      </c>
      <c r="T1" s="14" t="s">
        <v>378</v>
      </c>
      <c r="U1" s="14" t="s">
        <v>379</v>
      </c>
      <c r="V1" s="14" t="s">
        <v>380</v>
      </c>
      <c r="W1" s="14" t="s">
        <v>381</v>
      </c>
      <c r="X1" s="14" t="s">
        <v>382</v>
      </c>
      <c r="Y1" s="14" t="s">
        <v>383</v>
      </c>
      <c r="Z1" s="14" t="s">
        <v>384</v>
      </c>
      <c r="AA1" s="14" t="s">
        <v>385</v>
      </c>
      <c r="AB1" s="14" t="s">
        <v>386</v>
      </c>
      <c r="AC1" s="14" t="s">
        <v>387</v>
      </c>
      <c r="AD1" s="14" t="s">
        <v>357</v>
      </c>
      <c r="AE1" s="14" t="s">
        <v>358</v>
      </c>
      <c r="AF1" s="15" t="s">
        <v>359</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A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SUM(AB2:AB44)</f>
        <v>0</v>
      </c>
      <c r="AC45" s="25">
        <f>SUM(AC2:AC44)</f>
        <v>0</v>
      </c>
      <c r="AD45" s="25">
        <f>SUM(AD2:AD44)</f>
        <v>0</v>
      </c>
      <c r="AE45" s="25">
        <f>SUM(AE2:AE44)</f>
        <v>0</v>
      </c>
      <c r="AF45" s="25">
        <f>SUM(AF2:AF44)</f>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Kapitalwert+Annuität_ohne Knick</vt:lpstr>
      <vt:lpstr>Windschutzstreifen (ohne Knick)</vt:lpstr>
      <vt:lpstr>Kapitalwert+Annuität_mit Knick</vt:lpstr>
      <vt:lpstr>Windschutzstreifen (mit Knick)</vt:lpstr>
      <vt:lpstr>Pappelerlöse</vt:lpstr>
      <vt:lpstr>Futterlauberlöse</vt:lpstr>
      <vt:lpstr>Januar</vt:lpstr>
      <vt:lpstr>Februar</vt:lpstr>
      <vt:lpstr>März</vt:lpstr>
      <vt:lpstr>April</vt:lpstr>
      <vt:lpstr>Mai</vt:lpstr>
      <vt:lpstr>Juni</vt:lpstr>
      <vt:lpstr>Juli</vt:lpstr>
      <vt:lpstr>August</vt:lpstr>
      <vt:lpstr>September</vt:lpstr>
      <vt:lpstr>Oktober</vt:lpstr>
      <vt:lpstr>November</vt:lpstr>
      <vt:lpstr>Dezember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Proto Type</dc:creator>
  <cp:lastModifiedBy>Anja</cp:lastModifiedBy>
  <dcterms:created xsi:type="dcterms:W3CDTF">2015-11-25T14:23:36Z</dcterms:created>
  <dcterms:modified xsi:type="dcterms:W3CDTF">2026-09-29T10:03:50Z</dcterms:modified>
</cp:coreProperties>
</file>